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F:\PROJECTS\ACTIVE PROJECTS\Entrada (Riverside, CA)\Project Management\TCAC_CDLAC\4% Joint Application\Section 40 - TCAC Excel Application\"/>
    </mc:Choice>
  </mc:AlternateContent>
  <xr:revisionPtr revIDLastSave="0" documentId="13_ncr:1_{9420E237-C648-4E66-9B56-EE1D33E46F42}" xr6:coauthVersionLast="46" xr6:coauthVersionMax="47" xr10:uidLastSave="{00000000-0000-0000-0000-000000000000}"/>
  <bookViews>
    <workbookView xWindow="28680" yWindow="-120" windowWidth="29040" windowHeight="1584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iterateCount="3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5" i="4" l="1"/>
  <c r="G15" i="22" l="1"/>
  <c r="E40" i="7"/>
  <c r="G40" i="7" s="1"/>
  <c r="A10" i="8"/>
  <c r="B10" i="8"/>
  <c r="C10" i="8"/>
  <c r="A11" i="8"/>
  <c r="B11" i="8"/>
  <c r="C11" i="8"/>
  <c r="A12" i="8"/>
  <c r="B12" i="8"/>
  <c r="C12" i="8"/>
  <c r="AG31" i="7"/>
  <c r="AE31" i="7"/>
  <c r="AC31" i="7"/>
  <c r="AA31" i="7"/>
  <c r="Y31" i="7"/>
  <c r="W31" i="7"/>
  <c r="U31" i="7"/>
  <c r="S31" i="7"/>
  <c r="Q31" i="7"/>
  <c r="O31" i="7"/>
  <c r="M31" i="7"/>
  <c r="K31" i="7"/>
  <c r="I31" i="7"/>
  <c r="G31" i="7"/>
  <c r="AF638" i="3" l="1"/>
  <c r="E39" i="7"/>
  <c r="E29" i="4"/>
  <c r="G29" i="4"/>
  <c r="S85" i="4"/>
  <c r="C13" i="4"/>
  <c r="E99" i="4"/>
  <c r="G85" i="4"/>
  <c r="E61" i="4"/>
  <c r="B125" i="4"/>
  <c r="S93" i="4" l="1"/>
  <c r="S92" i="4"/>
  <c r="S89" i="4"/>
  <c r="S86" i="4"/>
  <c r="S84" i="4"/>
  <c r="S80" i="4"/>
  <c r="S79" i="4"/>
  <c r="S69" i="4"/>
  <c r="S43" i="4"/>
  <c r="S41" i="4"/>
  <c r="S40" i="4"/>
  <c r="S37" i="4"/>
  <c r="S36" i="4"/>
  <c r="S35" i="4"/>
  <c r="S33" i="4"/>
  <c r="S32" i="4"/>
  <c r="S31" i="4"/>
  <c r="E103" i="4"/>
  <c r="E69" i="4"/>
  <c r="E49" i="4"/>
  <c r="C56" i="4"/>
  <c r="C88" i="4"/>
  <c r="C103" i="4"/>
  <c r="E83" i="4"/>
  <c r="E53" i="4"/>
  <c r="C69" i="4"/>
  <c r="G89" i="4"/>
  <c r="G86" i="4"/>
  <c r="G43" i="4"/>
  <c r="G41" i="4"/>
  <c r="G40" i="4"/>
  <c r="E95" i="4"/>
  <c r="E94" i="4"/>
  <c r="E93" i="4"/>
  <c r="E92" i="4"/>
  <c r="E91" i="4"/>
  <c r="E90" i="4"/>
  <c r="E88" i="4"/>
  <c r="E87" i="4"/>
  <c r="E84" i="4"/>
  <c r="E80" i="4"/>
  <c r="E79" i="4"/>
  <c r="E76" i="4"/>
  <c r="E75" i="4"/>
  <c r="E66" i="4"/>
  <c r="E65" i="4"/>
  <c r="E56" i="4"/>
  <c r="E52" i="4"/>
  <c r="E51" i="4"/>
  <c r="E50" i="4"/>
  <c r="E48" i="4"/>
  <c r="E46" i="4"/>
  <c r="E45" i="4"/>
  <c r="E37" i="4"/>
  <c r="E36" i="4"/>
  <c r="E35" i="4"/>
  <c r="E33" i="4"/>
  <c r="E32" i="4"/>
  <c r="E31" i="4"/>
  <c r="E13" i="4"/>
  <c r="E6" i="4"/>
  <c r="E5" i="4"/>
  <c r="E4"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C28" i="7"/>
  <c r="M28" i="7"/>
  <c r="S28" i="7"/>
  <c r="AE28" i="7"/>
  <c r="W28" i="7"/>
  <c r="O28" i="7"/>
  <c r="G28" i="7"/>
  <c r="U28" i="7"/>
  <c r="AA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F10" i="8"/>
  <c r="F11" i="8"/>
  <c r="F12" i="8"/>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79" i="13"/>
  <c r="E65" i="13"/>
  <c r="E53" i="13"/>
  <c r="E49" i="13"/>
  <c r="E47" i="13"/>
  <c r="E46" i="13"/>
  <c r="E45" i="13"/>
  <c r="E43" i="13"/>
  <c r="E41" i="13"/>
  <c r="E40" i="13"/>
  <c r="E37" i="13"/>
  <c r="E35" i="13"/>
  <c r="E34" i="13"/>
  <c r="E33" i="13"/>
  <c r="E32" i="13"/>
  <c r="E3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D77" i="13"/>
  <c r="C77" i="13"/>
  <c r="J70" i="13"/>
  <c r="I70" i="13"/>
  <c r="G70" i="13"/>
  <c r="F70" i="13"/>
  <c r="D70" i="13"/>
  <c r="C70" i="13"/>
  <c r="D62" i="13"/>
  <c r="C62" i="13"/>
  <c r="J54" i="13"/>
  <c r="I54" i="13"/>
  <c r="G54" i="13"/>
  <c r="D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F104" i="13" s="1"/>
  <c r="R95" i="4"/>
  <c r="R94" i="4"/>
  <c r="R93" i="4"/>
  <c r="R92" i="4"/>
  <c r="R90" i="4"/>
  <c r="R89" i="4"/>
  <c r="R88" i="4"/>
  <c r="R87" i="4"/>
  <c r="R86" i="4"/>
  <c r="R85" i="4"/>
  <c r="E85" i="13" s="1"/>
  <c r="F96" i="13" s="1"/>
  <c r="R83" i="4"/>
  <c r="R76" i="4"/>
  <c r="R75" i="4"/>
  <c r="R72" i="4"/>
  <c r="R73" i="4"/>
  <c r="R74" i="4"/>
  <c r="R69" i="4"/>
  <c r="R65" i="4"/>
  <c r="R61" i="4"/>
  <c r="R60" i="4"/>
  <c r="R59" i="4"/>
  <c r="R58" i="4"/>
  <c r="R57" i="4"/>
  <c r="R56" i="4"/>
  <c r="R53" i="4"/>
  <c r="R52" i="4"/>
  <c r="S52" i="4" s="1"/>
  <c r="E52" i="13" s="1"/>
  <c r="R51" i="4"/>
  <c r="S51" i="4" s="1"/>
  <c r="E51" i="13" s="1"/>
  <c r="R50" i="4"/>
  <c r="S50" i="4" s="1"/>
  <c r="E50" i="13" s="1"/>
  <c r="R49" i="4"/>
  <c r="R48" i="4"/>
  <c r="S48" i="4" s="1"/>
  <c r="E48" i="13" s="1"/>
  <c r="R47" i="4"/>
  <c r="R46" i="4"/>
  <c r="R45" i="4"/>
  <c r="R43" i="4"/>
  <c r="R41" i="4"/>
  <c r="R40" i="4"/>
  <c r="R37" i="4"/>
  <c r="R35" i="4"/>
  <c r="R34" i="4"/>
  <c r="R33" i="4"/>
  <c r="R32" i="4"/>
  <c r="R31" i="4"/>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s="1"/>
  <c r="I5" i="8" s="1"/>
  <c r="A6" i="8"/>
  <c r="C6" i="8"/>
  <c r="H6" i="8" s="1"/>
  <c r="I6" i="8" s="1"/>
  <c r="A7" i="8"/>
  <c r="C7" i="8"/>
  <c r="H7" i="8" s="1"/>
  <c r="A8" i="8"/>
  <c r="C8" i="8"/>
  <c r="H8" i="8" s="1"/>
  <c r="I8" i="8" s="1"/>
  <c r="A9" i="8"/>
  <c r="C9" i="8"/>
  <c r="H9" i="8" s="1"/>
  <c r="I9" i="8" s="1"/>
  <c r="H10" i="8"/>
  <c r="I10" i="8" s="1"/>
  <c r="H11" i="8"/>
  <c r="I11" i="8" s="1"/>
  <c r="H12" i="8"/>
  <c r="I12" i="8" s="1"/>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E32" i="7"/>
  <c r="G32" i="7" s="1"/>
  <c r="I32" i="7" s="1"/>
  <c r="K32" i="7" s="1"/>
  <c r="M32" i="7" s="1"/>
  <c r="O32" i="7" s="1"/>
  <c r="Q32" i="7" s="1"/>
  <c r="S32" i="7" s="1"/>
  <c r="U32" i="7" s="1"/>
  <c r="W32" i="7" s="1"/>
  <c r="Y32" i="7" s="1"/>
  <c r="AA32" i="7" s="1"/>
  <c r="AC32" i="7" s="1"/>
  <c r="AE32" i="7" s="1"/>
  <c r="AG32" i="7" s="1"/>
  <c r="A39" i="7"/>
  <c r="M39"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B77" i="4" s="1"/>
  <c r="D96" i="4"/>
  <c r="D104" i="4"/>
  <c r="B104" i="4" s="1"/>
  <c r="AO649" i="3"/>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BI712" i="3" s="1"/>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S54" i="4" l="1"/>
  <c r="E54" i="13" s="1"/>
  <c r="F54" i="13"/>
  <c r="D51" i="11"/>
  <c r="I7" i="8"/>
  <c r="AM735" i="3"/>
  <c r="BI710" i="3" s="1"/>
  <c r="AM736" i="3"/>
  <c r="BI711" i="3" s="1"/>
  <c r="I4" i="8"/>
  <c r="F38" i="13"/>
  <c r="S104" i="4"/>
  <c r="E104" i="13" s="1"/>
  <c r="C96" i="13"/>
  <c r="S38" i="4"/>
  <c r="E38" i="13" s="1"/>
  <c r="C54" i="13"/>
  <c r="C63" i="13" s="1"/>
  <c r="C97" i="13" s="1"/>
  <c r="C105" i="13" s="1"/>
  <c r="S96" i="4"/>
  <c r="E96" i="13" s="1"/>
  <c r="N153" i="23"/>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E108"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F63" i="13" l="1"/>
  <c r="F97" i="13" s="1"/>
  <c r="F105" i="13" s="1"/>
  <c r="F107" i="13" s="1"/>
  <c r="N160" i="23"/>
  <c r="AO651" i="3"/>
  <c r="S63" i="4"/>
  <c r="E63" i="13" s="1"/>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C98" i="11"/>
  <c r="D98" i="11" s="1"/>
  <c r="CS663" i="3"/>
  <c r="J8" i="22" s="1"/>
  <c r="J10" i="22" s="1"/>
  <c r="U588" i="20" s="1"/>
  <c r="P420" i="3"/>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T11" i="15"/>
  <c r="T23" i="15" s="1"/>
  <c r="AC453" i="3"/>
  <c r="AB47" i="15"/>
  <c r="AB49" i="15" s="1"/>
  <c r="E61" i="7" l="1"/>
  <c r="E65" i="7"/>
  <c r="E66" i="7"/>
  <c r="AJ1024" i="3"/>
  <c r="AJ1028" i="3"/>
  <c r="AF766" i="20"/>
  <c r="E105" i="13"/>
  <c r="AC455" i="3"/>
  <c r="Y64" i="15"/>
  <c r="Y68" i="15" s="1"/>
  <c r="C106" i="11"/>
  <c r="D106" i="11" s="1"/>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<sst xmlns="http://schemas.openxmlformats.org/spreadsheetml/2006/main" count="5116" uniqueCount="2697">
  <si>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</si>
  <si>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</si>
  <si>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</si>
  <si>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</si>
  <si>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</si>
  <si>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</si>
  <si>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</si>
  <si>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</si>
  <si>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</si>
  <si>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</si>
  <si>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</si>
  <si>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</si>
  <si>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</si>
  <si>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</si>
  <si>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</si>
  <si>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</si>
  <si>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</si>
  <si>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</si>
  <si>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</si>
  <si>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</si>
  <si>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</si>
  <si>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</si>
  <si>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</si>
  <si>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</si>
  <si>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</si>
  <si>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</si>
  <si>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</si>
  <si>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</si>
  <si>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</si>
  <si>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</si>
  <si>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</si>
  <si>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</si>
  <si>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</si>
  <si>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</si>
  <si>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</si>
  <si>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</si>
  <si>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</si>
  <si>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</si>
  <si>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</si>
  <si>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</si>
  <si>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</si>
  <si>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</si>
  <si>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</si>
  <si>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</si>
  <si>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</si>
  <si>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</si>
  <si>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</si>
  <si>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</si>
  <si>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</si>
  <si>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</si>
  <si>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</si>
  <si>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</si>
  <si>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</si>
  <si>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</si>
  <si>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</si>
  <si>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</si>
  <si>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</si>
  <si>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</si>
  <si>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</si>
  <si>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</si>
  <si>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</si>
  <si>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</si>
  <si>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</si>
  <si>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</si>
  <si>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</si>
  <si>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</si>
  <si>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</si>
  <si>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</si>
  <si>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</si>
  <si>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</si>
  <si>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</si>
  <si>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</si>
  <si>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</si>
  <si>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</si>
  <si>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</si>
  <si>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</si>
  <si>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</si>
  <si>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</si>
  <si>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</si>
  <si>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</si>
  <si>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</si>
  <si>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</si>
  <si>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</si>
  <si>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</si>
  <si>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</si>
  <si>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</si>
  <si>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</si>
  <si>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</si>
  <si>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</si>
  <si>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</si>
  <si>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</si>
  <si>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</si>
  <si>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</si>
  <si>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</si>
  <si>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</si>
  <si>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</si>
  <si>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</si>
  <si>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</si>
  <si>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</si>
  <si>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</si>
  <si>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</si>
  <si>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</si>
  <si>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</si>
  <si>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</si>
  <si>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</si>
  <si>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</si>
  <si>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</si>
  <si>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</si>
  <si>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</si>
  <si>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</si>
  <si>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</si>
  <si>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</si>
  <si>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</si>
  <si>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</si>
  <si>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</si>
  <si>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</si>
  <si>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</si>
  <si>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</si>
  <si>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</si>
  <si>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</si>
  <si>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</si>
  <si>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</si>
  <si>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</si>
  <si>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</si>
  <si>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</si>
  <si>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</si>
  <si>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</si>
  <si>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</si>
  <si>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</si>
  <si>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</si>
  <si>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</si>
  <si>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</si>
  <si>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</si>
  <si>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</si>
  <si>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</si>
  <si>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</si>
  <si>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</si>
  <si>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</si>
  <si>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</si>
  <si>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</si>
  <si>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</si>
  <si>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</si>
  <si>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</si>
  <si>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</si>
  <si>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</si>
  <si>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</si>
  <si>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</si>
  <si>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</si>
  <si>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</si>
  <si>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</si>
  <si>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</si>
  <si>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</si>
  <si>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</si>
  <si>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</si>
  <si>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</si>
  <si>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</si>
  <si>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</si>
  <si>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</si>
  <si>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</si>
  <si>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</si>
  <si>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</si>
  <si>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</si>
  <si>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</si>
  <si>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</si>
  <si>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</si>
  <si>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</si>
  <si>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</si>
  <si>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</si>
  <si>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</si>
  <si>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</si>
  <si>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</si>
  <si>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</si>
  <si>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</si>
  <si>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</si>
  <si>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</si>
  <si>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</si>
  <si>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</si>
  <si>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</si>
  <si>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</si>
  <si>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</si>
  <si>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</si>
  <si>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</si>
  <si>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</si>
  <si>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</si>
  <si>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</si>
  <si>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</si>
  <si>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</si>
  <si>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</si>
  <si>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</si>
  <si>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</si>
  <si>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</si>
  <si>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</si>
  <si>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</si>
  <si>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</si>
  <si>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</si>
  <si>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</si>
  <si>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</si>
  <si>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</si>
  <si>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</si>
  <si>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</si>
  <si>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</si>
  <si>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</si>
  <si>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</si>
  <si>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</si>
  <si>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</si>
  <si>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</si>
  <si>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</si>
  <si>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</si>
  <si>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</si>
  <si>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</si>
  <si>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</si>
  <si>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</si>
  <si>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</si>
  <si>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</si>
  <si>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</si>
  <si>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</si>
  <si>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</si>
  <si>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</si>
  <si>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</si>
  <si>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</si>
  <si>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</si>
  <si>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</si>
  <si>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</si>
  <si>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</si>
  <si>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</si>
  <si>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</si>
  <si>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</si>
  <si>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</si>
  <si>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</si>
  <si>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</si>
  <si>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</si>
  <si>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</si>
  <si>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</si>
  <si>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</si>
  <si>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</si>
  <si>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</si>
  <si>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</si>
  <si>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</si>
  <si>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</si>
  <si>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</si>
  <si>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</si>
  <si>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</si>
  <si>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</si>
  <si>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</si>
  <si>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</si>
  <si>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</si>
  <si>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</si>
  <si>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</si>
  <si>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</si>
  <si>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</si>
  <si>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</si>
  <si>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</si>
  <si>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</si>
  <si>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</si>
  <si>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</si>
  <si>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</si>
  <si>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</si>
  <si>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</si>
  <si>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</si>
  <si>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</si>
  <si>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</si>
  <si>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</si>
  <si>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</si>
  <si>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</si>
  <si>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</si>
  <si>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</si>
  <si>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</si>
  <si>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</si>
  <si>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</si>
  <si>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</si>
  <si>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</si>
  <si>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</si>
  <si>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</si>
  <si>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</si>
  <si>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</si>
  <si>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</si>
  <si>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</si>
  <si>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</si>
  <si>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</si>
  <si>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</si>
  <si>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</si>
  <si>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</si>
  <si>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</si>
  <si>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</si>
  <si>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</si>
  <si>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</si>
  <si>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</si>
  <si>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</si>
  <si>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</si>
  <si>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</si>
  <si>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</si>
  <si>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</si>
  <si>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</si>
  <si>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</si>
  <si>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</si>
  <si>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</si>
  <si>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</si>
  <si>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</si>
  <si>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</si>
  <si>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</si>
  <si>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</si>
  <si>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</si>
  <si>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</si>
  <si>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</si>
  <si>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</si>
  <si>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</si>
  <si>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</si>
  <si>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</si>
  <si>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</si>
  <si>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</si>
  <si>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</si>
  <si>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</si>
  <si>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</si>
  <si>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</si>
  <si>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</si>
  <si>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</si>
  <si>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</si>
  <si>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</si>
  <si>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</si>
  <si>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</si>
  <si>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</si>
  <si>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</si>
  <si>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</si>
  <si>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</si>
  <si>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</si>
  <si>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</si>
  <si>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</si>
  <si>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</si>
  <si>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</si>
  <si>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</si>
  <si>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</si>
  <si>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</si>
  <si>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</si>
  <si>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</si>
  <si>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</si>
  <si>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</si>
  <si>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</si>
  <si>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</si>
  <si>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</si>
  <si>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</si>
  <si>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</si>
  <si>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</si>
  <si>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</si>
  <si>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</si>
  <si>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</si>
  <si>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</si>
  <si>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</si>
  <si>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</si>
  <si>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</si>
  <si>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</si>
  <si>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</si>
  <si>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</si>
  <si>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</si>
  <si>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</si>
  <si>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</si>
  <si>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</si>
  <si>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</si>
  <si>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</si>
  <si>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</si>
  <si>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</si>
  <si>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</si>
  <si>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</si>
  <si>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</si>
  <si>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</si>
  <si>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</si>
  <si>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</si>
  <si>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</si>
  <si>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</si>
  <si>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</si>
  <si>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</si>
  <si>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</si>
  <si>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</si>
  <si>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</si>
  <si>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</si>
  <si>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</si>
  <si>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</si>
  <si>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</si>
  <si>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</si>
  <si>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</si>
  <si>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</si>
  <si>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</si>
  <si>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</si>
  <si>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</si>
  <si>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</si>
  <si>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</si>
  <si>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</si>
  <si>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</si>
  <si>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</si>
  <si>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</si>
  <si>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</si>
  <si>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</si>
  <si>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</si>
  <si>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</si>
  <si>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</si>
  <si>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</si>
  <si>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</si>
  <si>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</si>
  <si>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</si>
  <si>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</si>
  <si>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</si>
  <si>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</si>
  <si>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</si>
  <si>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</si>
  <si>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</si>
  <si>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</si>
  <si>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</si>
  <si>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</si>
  <si>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</si>
  <si>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</si>
  <si>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</si>
  <si>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</si>
  <si>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</si>
  <si>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</si>
  <si>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</si>
  <si>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</si>
  <si>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</si>
  <si>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</si>
  <si>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</si>
  <si>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</si>
  <si>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</si>
  <si>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</si>
  <si>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</si>
  <si>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</si>
  <si>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</si>
  <si>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</si>
  <si>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</si>
  <si>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</si>
  <si>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</si>
  <si>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</si>
  <si>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</si>
  <si>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</si>
  <si>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</si>
  <si>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</si>
  <si>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</si>
  <si>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</si>
  <si>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</si>
  <si>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</si>
  <si>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</si>
  <si>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</si>
  <si>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</si>
  <si>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</si>
  <si>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</si>
  <si>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</si>
  <si>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</si>
  <si>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</si>
  <si>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</si>
  <si>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</si>
  <si>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</si>
  <si>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</si>
  <si>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</si>
  <si>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</si>
  <si>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</si>
  <si>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</si>
  <si>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</si>
  <si>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</si>
  <si>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</si>
  <si>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</si>
  <si>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</si>
  <si>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</si>
  <si>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</si>
  <si>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</si>
  <si>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</si>
  <si>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</si>
  <si>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</si>
  <si>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</si>
  <si>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</si>
  <si>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</si>
  <si>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</si>
  <si>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</si>
  <si>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</si>
  <si>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</si>
  <si>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</si>
  <si>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</si>
  <si>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</si>
  <si>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</si>
  <si>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</si>
  <si>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</si>
  <si>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</si>
  <si>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</si>
  <si>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</si>
  <si>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</si>
  <si>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</si>
  <si>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</si>
  <si>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</si>
  <si>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</si>
  <si>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</si>
  <si>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</si>
  <si>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</si>
  <si>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</si>
  <si>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</si>
  <si>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</si>
  <si>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</si>
  <si>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</si>
  <si>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</si>
  <si>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</si>
  <si>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</si>
  <si>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</si>
  <si>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</si>
  <si>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</si>
  <si>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</si>
  <si>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</si>
  <si>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</si>
  <si>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</si>
  <si>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</si>
  <si>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</si>
  <si>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</si>
  <si>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</si>
  <si>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</si>
  <si>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</si>
  <si>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</si>
  <si>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</si>
  <si>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</si>
  <si>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</si>
  <si>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</si>
  <si>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</si>
  <si>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</si>
  <si>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</si>
  <si>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</si>
  <si>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</si>
  <si>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</si>
  <si>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</si>
  <si>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</si>
  <si>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</si>
  <si>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</si>
  <si>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</si>
  <si>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</si>
  <si>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</si>
  <si>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</si>
  <si>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</si>
  <si>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</si>
  <si>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</si>
  <si>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</si>
  <si>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</si>
  <si>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</si>
  <si>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</si>
  <si>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</si>
  <si>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</si>
  <si>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</si>
  <si>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</si>
  <si>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</si>
  <si>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</si>
  <si>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</si>
  <si>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</si>
  <si>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</si>
  <si>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</si>
  <si>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</si>
  <si>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</si>
  <si>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</si>
  <si>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</si>
  <si>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</si>
  <si>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</si>
  <si>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</si>
  <si>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</si>
  <si>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</si>
  <si>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</si>
  <si>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</si>
  <si>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</si>
  <si>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</si>
  <si>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</si>
  <si>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</si>
  <si>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</si>
  <si>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</si>
  <si>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</si>
  <si>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</si>
  <si>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</si>
  <si>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</si>
  <si>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</si>
  <si>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</si>
  <si>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</si>
  <si>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</si>
  <si>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</si>
  <si>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</si>
  <si>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</si>
  <si>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</si>
  <si>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</si>
  <si>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</si>
  <si>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</si>
  <si>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</si>
  <si>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</si>
  <si>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</si>
  <si>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</si>
  <si>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</si>
  <si>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</si>
  <si>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</si>
  <si>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</si>
  <si>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</si>
  <si>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</si>
  <si>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</si>
  <si>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</si>
  <si>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</si>
  <si>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</si>
  <si>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</si>
  <si>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</si>
  <si>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</si>
  <si>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</si>
  <si>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</si>
  <si>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</si>
  <si>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</si>
  <si>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</si>
  <si>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</si>
  <si>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</si>
  <si>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</si>
  <si>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</si>
  <si>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</si>
  <si>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</si>
  <si>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</si>
  <si>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</si>
  <si>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</si>
  <si>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</si>
  <si>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</si>
  <si>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</si>
  <si>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</si>
  <si>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</si>
  <si>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</si>
  <si>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</si>
  <si>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</si>
  <si>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</si>
  <si>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</si>
  <si>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</si>
  <si>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</si>
  <si>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</si>
  <si>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</si>
  <si>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</si>
  <si>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</si>
  <si>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</si>
  <si>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</si>
  <si>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</si>
  <si>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</si>
  <si>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</si>
  <si>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</si>
  <si>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</si>
  <si>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</si>
  <si>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</si>
  <si>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</si>
  <si>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</si>
  <si>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</si>
  <si>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</si>
  <si>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</si>
  <si>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</si>
  <si>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</si>
  <si>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</si>
  <si>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</si>
  <si>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</si>
  <si>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</si>
  <si>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</si>
  <si>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</si>
  <si>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</si>
  <si>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</si>
  <si>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</si>
  <si>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</si>
  <si>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</si>
  <si>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</si>
  <si>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</si>
  <si>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</si>
  <si>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</si>
  <si>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</si>
  <si>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</si>
  <si>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</si>
  <si>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</si>
  <si>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</si>
  <si>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</si>
  <si>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</si>
  <si>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</si>
  <si>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</si>
  <si>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</si>
  <si>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</si>
  <si>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</si>
  <si>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</si>
  <si>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</si>
  <si>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</si>
  <si>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</si>
  <si>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</si>
  <si>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</si>
  <si>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</si>
  <si>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</si>
  <si>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</si>
  <si>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</si>
  <si>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</si>
  <si>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</si>
  <si>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</si>
  <si>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</si>
  <si>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</si>
  <si>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</si>
  <si>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</si>
  <si>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</si>
  <si>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</si>
  <si>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</si>
  <si>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</si>
  <si>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</si>
  <si>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</si>
  <si>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</si>
  <si>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</si>
  <si>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</si>
  <si>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</si>
  <si>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</si>
  <si>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</si>
  <si>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</si>
  <si>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</si>
  <si>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</si>
  <si>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</si>
  <si>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</si>
  <si>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</si>
  <si>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</si>
  <si>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</si>
  <si>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</si>
  <si>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</si>
  <si>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</si>
  <si>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</si>
  <si>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</si>
  <si>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</si>
  <si>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</si>
  <si>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</si>
  <si>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</si>
  <si>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</si>
  <si>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</si>
  <si>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</si>
  <si>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</si>
  <si>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</si>
  <si>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</si>
  <si>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</si>
  <si>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</si>
  <si>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</si>
  <si>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</si>
  <si>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</si>
  <si>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</si>
  <si>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</si>
  <si>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</si>
  <si>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</si>
  <si>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</si>
  <si>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</si>
  <si>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</si>
  <si>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</si>
  <si>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</si>
  <si>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</si>
  <si>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</si>
  <si>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</si>
  <si>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</si>
  <si>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</si>
  <si>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</si>
  <si>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</si>
  <si>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</si>
  <si>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</si>
  <si>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</si>
  <si>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</si>
  <si>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</si>
  <si>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</si>
  <si>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</si>
  <si>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</si>
  <si>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</si>
  <si>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</si>
  <si>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</si>
  <si>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</si>
  <si>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</si>
  <si>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</si>
  <si>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</si>
  <si>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</si>
  <si>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</si>
  <si>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</si>
  <si>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</si>
  <si>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</si>
  <si>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</si>
  <si>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</si>
  <si>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</si>
  <si>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</si>
  <si>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</si>
  <si>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</si>
  <si>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</si>
  <si>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</si>
  <si>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</si>
  <si>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</si>
  <si>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</si>
  <si>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</si>
  <si>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</si>
  <si>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</si>
  <si>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</si>
  <si>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</si>
  <si>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</si>
  <si>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</si>
  <si>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</si>
  <si>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</si>
  <si>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</si>
  <si>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</si>
  <si>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</si>
  <si>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</si>
  <si>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</si>
  <si>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</si>
  <si>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</si>
  <si>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</si>
  <si>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</si>
  <si>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</si>
  <si>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</si>
  <si>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</si>
  <si>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</si>
  <si>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</si>
  <si>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</si>
  <si>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</si>
  <si>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</si>
  <si>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</si>
  <si>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</si>
  <si>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</si>
  <si>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</si>
  <si>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</si>
  <si>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</si>
  <si>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</si>
  <si>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</si>
  <si>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</si>
  <si>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</si>
  <si>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</si>
  <si>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</si>
  <si>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</si>
  <si>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</si>
  <si>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</si>
  <si>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</si>
  <si>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</si>
  <si>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</si>
  <si>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</si>
  <si>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</si>
  <si>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</si>
  <si>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</si>
  <si>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</si>
  <si>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</si>
  <si>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</si>
  <si>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</si>
  <si>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</si>
  <si>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</si>
  <si>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</si>
  <si>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</si>
  <si>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</si>
  <si>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</si>
  <si>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</si>
  <si>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</si>
  <si>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</si>
  <si>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</si>
  <si>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</si>
  <si>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</si>
  <si>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</si>
  <si>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</si>
  <si>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</si>
  <si>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</si>
  <si>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</si>
  <si>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</si>
  <si>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</si>
  <si>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</si>
  <si>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</si>
  <si>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</si>
  <si>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</si>
  <si>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</si>
  <si>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</si>
  <si>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</si>
  <si>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</si>
  <si>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</si>
  <si>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</si>
  <si>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</si>
  <si>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</si>
  <si>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</si>
  <si>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</si>
  <si>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</si>
  <si>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</si>
  <si>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</si>
  <si>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</si>
  <si>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</si>
  <si>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</si>
  <si>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</si>
  <si>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</si>
  <si>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</si>
  <si>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</si>
  <si>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</si>
  <si>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</si>
  <si>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</si>
  <si>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</si>
  <si>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</si>
  <si>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</si>
  <si>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</si>
  <si>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</si>
  <si>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</si>
  <si>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</si>
  <si>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</si>
  <si>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</si>
  <si>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</si>
  <si>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</si>
  <si>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</si>
  <si>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</si>
  <si>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</si>
  <si>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</si>
  <si>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</si>
  <si>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</si>
  <si>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</si>
  <si>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</si>
  <si>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</si>
  <si>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</si>
  <si>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</si>
  <si>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</si>
  <si>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</si>
  <si>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</si>
  <si>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</si>
  <si>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</si>
  <si>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</si>
  <si>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</si>
  <si>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</si>
  <si>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</si>
  <si>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</si>
  <si>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</si>
  <si>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</si>
  <si>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</si>
  <si>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</si>
  <si>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</si>
  <si>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</si>
  <si>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</si>
  <si>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</si>
  <si>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</si>
  <si>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</si>
  <si>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</si>
  <si>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</si>
  <si>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</si>
  <si>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</si>
  <si>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</si>
  <si>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</si>
  <si>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</si>
  <si>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</si>
  <si>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</si>
  <si>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</si>
  <si>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</si>
  <si>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</si>
  <si>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</si>
  <si>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</si>
  <si>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</si>
  <si>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</si>
  <si>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</si>
  <si>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</si>
  <si>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</si>
  <si>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</si>
  <si>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</si>
  <si>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</si>
  <si>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</si>
  <si>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</si>
  <si>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</si>
  <si>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</si>
  <si>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</si>
  <si>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</si>
  <si>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</si>
  <si>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</si>
  <si>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</si>
  <si>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</si>
  <si>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</si>
  <si>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</si>
  <si>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</si>
  <si>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</si>
  <si>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</si>
  <si>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</si>
  <si>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</si>
  <si>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</si>
  <si>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</si>
  <si>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</si>
  <si>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</si>
  <si>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</si>
  <si>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</si>
  <si>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</si>
  <si>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</si>
  <si>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</si>
  <si>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</si>
  <si>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</si>
  <si>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</si>
  <si>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</si>
  <si>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</si>
  <si>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</si>
  <si>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</si>
  <si>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</si>
  <si>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</si>
  <si>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</si>
  <si>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</si>
  <si>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</si>
  <si>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</si>
  <si>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</si>
  <si>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</si>
  <si>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</si>
  <si>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</si>
  <si>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</si>
  <si>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</si>
  <si>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</si>
  <si>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</si>
  <si>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</si>
  <si>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</si>
  <si>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</si>
  <si>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</si>
  <si>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</si>
  <si>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</si>
  <si>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</si>
  <si>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</si>
  <si>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</si>
  <si>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</si>
  <si>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</si>
  <si>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</si>
  <si>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</si>
  <si>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</si>
  <si>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</si>
  <si>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</si>
  <si>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</si>
  <si>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</si>
  <si>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</si>
  <si>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</si>
  <si>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</si>
  <si>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</si>
  <si>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</si>
  <si>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</si>
  <si>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</si>
  <si>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</si>
  <si>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</si>
  <si>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</si>
  <si>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</si>
  <si>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</si>
  <si>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</si>
  <si>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</si>
  <si>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</si>
  <si>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</si>
  <si>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</si>
  <si>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</si>
  <si>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</si>
  <si>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</si>
  <si>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</si>
  <si>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</si>
  <si>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</si>
  <si>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</si>
  <si>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</si>
  <si>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</si>
  <si>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</si>
  <si>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</si>
  <si>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</si>
  <si>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</si>
  <si>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</si>
  <si>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</si>
  <si>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</si>
  <si>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</si>
  <si>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</si>
  <si>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</si>
  <si>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</si>
  <si>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</si>
  <si>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</si>
  <si>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</si>
  <si>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</si>
  <si>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</si>
  <si>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</si>
  <si>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</si>
  <si>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</si>
  <si>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</si>
  <si>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</si>
  <si>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</si>
  <si>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</si>
  <si>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</si>
  <si>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</si>
  <si>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</si>
  <si>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</si>
  <si>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</si>
  <si>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</si>
  <si>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</si>
  <si>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</si>
  <si>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</si>
  <si>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</si>
  <si>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</si>
  <si>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</si>
  <si>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</si>
  <si>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</si>
  <si>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</si>
  <si>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</si>
  <si>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</si>
  <si>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</si>
  <si>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</si>
  <si>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</si>
  <si>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</si>
  <si>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</si>
  <si>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</si>
  <si>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</si>
  <si>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</si>
  <si>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</si>
  <si>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</si>
  <si>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</si>
  <si>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</si>
  <si>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</si>
  <si>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</si>
  <si>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</si>
  <si>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</si>
  <si>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</si>
  <si>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</si>
  <si>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</si>
  <si>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</si>
  <si>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</si>
  <si>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</si>
  <si>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</si>
  <si>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</si>
  <si>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</si>
  <si>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</si>
  <si>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</si>
  <si>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</si>
  <si>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</si>
  <si>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</si>
  <si>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</si>
  <si>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</si>
  <si>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</si>
  <si>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</si>
  <si>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</si>
  <si>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</si>
  <si>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</si>
  <si>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</si>
  <si>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</si>
  <si>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</si>
  <si>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</si>
  <si>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</si>
  <si>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</si>
  <si>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</si>
  <si>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</si>
  <si>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</si>
  <si>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</si>
  <si>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</si>
  <si>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</si>
  <si>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</si>
  <si>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</si>
  <si>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</si>
  <si>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</si>
  <si>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</si>
  <si>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</si>
  <si>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</si>
  <si>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</si>
  <si>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</si>
  <si>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</si>
  <si>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</si>
  <si>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</si>
  <si>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</si>
  <si>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</si>
  <si>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</si>
  <si>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</si>
  <si>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</si>
  <si>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</si>
  <si>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</si>
  <si>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</si>
  <si>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</si>
  <si>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</si>
  <si>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</si>
  <si>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</si>
  <si>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</si>
  <si>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</si>
  <si>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</si>
  <si>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</si>
  <si>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</si>
  <si>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</si>
  <si>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</si>
  <si>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</si>
  <si>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</si>
  <si>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</si>
  <si>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</si>
  <si>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</si>
  <si>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</si>
  <si>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</si>
  <si>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</si>
  <si>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</si>
  <si>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</si>
  <si>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</si>
  <si>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</si>
  <si>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</si>
  <si>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</si>
  <si>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</si>
  <si>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</si>
  <si>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</si>
  <si>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</si>
  <si>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</si>
  <si>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</si>
  <si>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</si>
  <si>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</si>
  <si>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</si>
  <si>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</si>
  <si>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</si>
  <si>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</si>
  <si>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</si>
  <si>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</si>
  <si>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</si>
  <si>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</si>
  <si>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</si>
  <si>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</si>
  <si>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</si>
  <si>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</si>
  <si>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</si>
  <si>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</si>
  <si>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</si>
  <si>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</si>
  <si>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</si>
  <si>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</si>
  <si>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</si>
  <si>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</si>
  <si>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</si>
  <si>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</si>
  <si>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</si>
  <si>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</si>
  <si>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</si>
  <si>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</si>
  <si>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</si>
  <si>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</si>
  <si>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</si>
  <si>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</si>
  <si>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</si>
  <si>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</si>
  <si>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</si>
  <si>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</si>
  <si>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</si>
  <si>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</si>
  <si>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</si>
  <si>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</si>
  <si>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</si>
  <si>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</si>
  <si>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</si>
  <si>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</si>
  <si>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</si>
  <si>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</si>
  <si>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</si>
  <si>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</si>
  <si>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</si>
  <si>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</si>
  <si>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</si>
  <si>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</si>
  <si>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</si>
  <si>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</si>
  <si>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</si>
  <si>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</si>
  <si>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</si>
  <si>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</si>
  <si>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</si>
  <si>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</si>
  <si>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</si>
  <si>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</si>
  <si>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</si>
  <si>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</si>
  <si>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</si>
  <si>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</si>
  <si>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</si>
  <si>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</si>
  <si>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</si>
  <si>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</si>
  <si>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</si>
  <si>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</si>
  <si>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</si>
  <si>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</si>
  <si>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</si>
  <si>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</si>
  <si>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</si>
  <si>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</si>
  <si>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</si>
  <si>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</si>
  <si>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</si>
  <si>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</si>
  <si>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</si>
  <si>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</si>
  <si>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</si>
  <si>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</si>
  <si>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</si>
  <si>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</si>
  <si>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</si>
  <si>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</si>
  <si>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</si>
  <si>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</si>
  <si>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</si>
  <si>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</si>
  <si>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</si>
  <si>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</si>
  <si>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</si>
  <si>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</si>
  <si>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</si>
  <si>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</si>
  <si>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</si>
  <si>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</si>
  <si>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</si>
  <si>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</si>
  <si>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</si>
  <si>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</si>
  <si>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</si>
  <si>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</si>
  <si>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</si>
  <si>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</si>
  <si>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</si>
  <si>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</si>
  <si>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</si>
  <si>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</si>
  <si>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</si>
  <si>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</si>
  <si>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</si>
  <si>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</si>
  <si>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</si>
  <si>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</si>
  <si>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</si>
  <si>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</si>
  <si>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</si>
  <si>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</si>
  <si>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</si>
  <si>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</si>
  <si>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</si>
  <si>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</si>
  <si>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</si>
  <si>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</si>
  <si>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</si>
  <si>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</si>
  <si>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</si>
  <si>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</si>
  <si>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</si>
  <si>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</si>
  <si>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</si>
  <si>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</si>
  <si>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</si>
  <si>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</si>
  <si>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</si>
  <si>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</si>
  <si>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</si>
  <si>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</si>
  <si>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</si>
  <si>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</si>
  <si>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</si>
  <si>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</si>
  <si>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</si>
  <si>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</si>
  <si>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</si>
  <si>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</si>
  <si>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</si>
  <si>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</si>
  <si>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</si>
  <si>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</si>
  <si>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</si>
  <si>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</si>
  <si>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</si>
  <si>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</si>
  <si>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</si>
  <si>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</si>
  <si>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</si>
  <si>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</si>
  <si>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</si>
  <si>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</si>
  <si>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</si>
  <si>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</si>
  <si>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</si>
  <si>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</si>
  <si>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</si>
  <si>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</si>
  <si>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</si>
  <si>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</si>
  <si>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</si>
  <si>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</si>
  <si>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</si>
  <si>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</si>
  <si>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</si>
  <si>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</si>
  <si>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</si>
  <si>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</si>
  <si>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</si>
  <si>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</si>
  <si>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</si>
  <si>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</si>
  <si>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</si>
  <si>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</si>
  <si>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</si>
  <si>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</si>
  <si>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</si>
  <si>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</si>
  <si>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</si>
  <si>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</si>
  <si>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</si>
  <si>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</si>
  <si>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</si>
  <si>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</si>
  <si>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</si>
  <si>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</si>
  <si>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</si>
  <si>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</si>
  <si>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</si>
  <si>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</si>
  <si>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</si>
  <si>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</si>
  <si>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</si>
  <si>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</si>
  <si>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</si>
  <si>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</si>
  <si>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</si>
  <si>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</si>
  <si>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</si>
  <si>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</si>
  <si>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</si>
  <si>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</si>
  <si>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</si>
  <si>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</si>
  <si>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</si>
  <si>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</si>
  <si>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</si>
  <si>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</si>
  <si>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</si>
  <si>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</si>
  <si>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</si>
  <si>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</si>
  <si>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</si>
  <si>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</si>
  <si>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</si>
  <si>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</si>
  <si>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</si>
  <si>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</si>
  <si>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</si>
  <si>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</si>
  <si>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</si>
  <si>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</si>
  <si>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</si>
  <si>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</si>
  <si>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</si>
  <si>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</si>
  <si>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</si>
  <si>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</si>
  <si>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</si>
  <si>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</si>
  <si>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</si>
  <si>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</si>
  <si>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</si>
  <si>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</si>
  <si>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</si>
  <si>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</si>
  <si>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</si>
  <si>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</si>
  <si>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</si>
  <si>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</si>
  <si>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</si>
  <si>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</si>
  <si>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</si>
  <si>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</si>
  <si>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</si>
  <si>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</si>
  <si>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</si>
  <si>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</si>
  <si>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</si>
  <si>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</si>
  <si>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</si>
  <si>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</si>
  <si>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</si>
  <si>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</si>
  <si>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</si>
  <si>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</si>
  <si>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</si>
  <si>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</si>
  <si>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</si>
  <si>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</si>
  <si>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</si>
  <si>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</si>
  <si>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</si>
  <si>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</si>
  <si>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</si>
  <si>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</si>
  <si>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</si>
  <si>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</si>
  <si>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</si>
  <si>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</si>
  <si>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</si>
  <si>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</si>
  <si>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</si>
  <si>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</si>
  <si>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</si>
  <si>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</si>
  <si>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</si>
  <si>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</si>
  <si>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</si>
  <si>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</si>
  <si>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</si>
  <si>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</si>
  <si>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</si>
  <si>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</si>
  <si>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</si>
  <si>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</si>
  <si>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</si>
  <si>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</si>
  <si>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</si>
  <si>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</si>
  <si>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</si>
  <si>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</si>
  <si>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</si>
  <si>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</si>
  <si>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</si>
  <si>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</si>
  <si>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</si>
  <si>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</si>
  <si>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</si>
  <si>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</si>
  <si>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</si>
  <si>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</si>
  <si>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</si>
  <si>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</si>
  <si>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</si>
  <si>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</si>
  <si>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</si>
  <si>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</si>
  <si>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</si>
  <si>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</si>
  <si>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</si>
  <si>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</si>
  <si>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</si>
  <si>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</si>
  <si>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</si>
  <si>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</si>
  <si>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</si>
  <si>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</si>
  <si>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</si>
  <si>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</si>
  <si>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</si>
  <si>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</si>
  <si>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</si>
  <si>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</si>
  <si>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</si>
  <si>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</si>
  <si>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</si>
  <si>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</si>
  <si>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</si>
  <si>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</si>
  <si>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</si>
  <si>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</si>
  <si>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</si>
  <si>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</si>
  <si>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</si>
  <si>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</si>
  <si>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</si>
  <si>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</si>
  <si>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</si>
  <si>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</si>
  <si>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</si>
  <si>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</si>
  <si>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</si>
  <si>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</si>
  <si>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</si>
  <si>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</si>
  <si>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</si>
  <si>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</si>
  <si>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</si>
  <si>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</si>
  <si>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</si>
  <si>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</si>
  <si>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</si>
  <si>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</si>
  <si>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</si>
  <si>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</si>
  <si>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</si>
  <si>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</si>
  <si>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</si>
  <si>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</si>
  <si>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</si>
  <si>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</si>
  <si>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</si>
  <si>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</si>
  <si>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</si>
  <si>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</si>
  <si>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</si>
  <si>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</si>
  <si>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</si>
  <si>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</si>
  <si>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</si>
  <si>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</si>
  <si>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</si>
  <si>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</si>
  <si>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</si>
  <si>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</si>
  <si>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</si>
  <si>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</si>
  <si>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</si>
  <si>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</si>
  <si>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</si>
  <si>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</si>
  <si>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</si>
  <si>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</si>
  <si>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</si>
  <si>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</si>
  <si>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</si>
  <si>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</si>
  <si>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</si>
  <si>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</si>
  <si>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</si>
  <si>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</si>
  <si>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</si>
  <si>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</si>
  <si>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</si>
  <si>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</si>
  <si>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</si>
  <si>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</si>
  <si>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</si>
  <si>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</si>
  <si>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</si>
  <si>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</si>
  <si>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</si>
  <si>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</si>
  <si>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</si>
  <si>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</si>
  <si>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</si>
  <si>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</si>
  <si>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</si>
  <si>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</si>
  <si>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</si>
  <si>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</si>
  <si>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</si>
  <si>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</si>
  <si>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</si>
  <si>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</si>
  <si>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</si>
  <si>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</si>
  <si>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</si>
  <si>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</si>
  <si>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</si>
  <si>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</si>
  <si>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</si>
  <si>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</si>
  <si>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</si>
  <si>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</si>
  <si>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</si>
  <si>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</si>
  <si>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</si>
  <si>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</si>
  <si>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</si>
  <si>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</si>
  <si>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</si>
  <si>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</si>
  <si>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</si>
  <si>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</si>
  <si>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</si>
  <si>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</si>
  <si>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</si>
  <si>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</si>
  <si>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</si>
  <si>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</si>
  <si>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</si>
  <si>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</si>
  <si>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</si>
  <si>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</si>
  <si>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</si>
  <si>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</si>
  <si>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</si>
  <si>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</si>
  <si>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</si>
  <si>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</si>
  <si>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</si>
  <si>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</si>
  <si>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</si>
  <si>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</si>
  <si>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</si>
  <si>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</si>
  <si>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</si>
  <si>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</si>
  <si>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</si>
  <si>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</si>
  <si>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</si>
  <si>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</si>
  <si>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</si>
  <si>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</si>
  <si>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</si>
  <si>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</si>
  <si>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</si>
  <si>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</si>
  <si>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</si>
  <si>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</si>
  <si>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</si>
  <si>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</si>
  <si>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</si>
  <si>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</si>
  <si>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</si>
  <si>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</si>
  <si>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</si>
  <si>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</si>
  <si>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</si>
  <si>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</si>
  <si>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</si>
  <si>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</si>
  <si>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</si>
  <si>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</si>
  <si>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</si>
  <si>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</si>
  <si>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</si>
  <si>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</si>
  <si>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</si>
  <si>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</si>
  <si>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</si>
  <si>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</si>
  <si>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</si>
  <si>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</si>
  <si>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</si>
  <si>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</si>
  <si>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</si>
  <si>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</si>
  <si>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</si>
  <si>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</si>
  <si>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</si>
  <si>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</si>
  <si>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</si>
  <si>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</si>
  <si>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</si>
  <si>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</si>
  <si>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</si>
  <si>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</si>
  <si>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</si>
  <si>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</si>
  <si>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</si>
  <si>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</si>
  <si>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</si>
  <si>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</si>
  <si>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</si>
  <si>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</si>
  <si>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</si>
  <si>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</si>
  <si>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</si>
  <si>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</si>
  <si>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</si>
  <si>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</si>
  <si>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</si>
  <si>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</si>
  <si>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</si>
  <si>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</si>
  <si>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</si>
  <si>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</si>
  <si>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</si>
  <si>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</si>
  <si>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</si>
  <si>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</si>
  <si>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</si>
  <si>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</si>
  <si>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</si>
  <si>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</si>
  <si>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</si>
  <si>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</si>
  <si>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</si>
  <si>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</si>
  <si>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</si>
  <si>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</si>
  <si>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</si>
  <si>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</si>
  <si>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</si>
  <si>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</si>
  <si>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</si>
  <si>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</si>
  <si>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</si>
  <si>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</si>
  <si>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</si>
  <si>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</si>
  <si>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</si>
  <si>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</si>
  <si>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</si>
  <si>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</si>
  <si>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</si>
  <si>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</si>
  <si>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</si>
  <si>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</si>
  <si>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</si>
  <si>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</si>
  <si>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</si>
  <si>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</si>
  <si>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</si>
  <si>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</si>
  <si>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</si>
  <si>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</si>
  <si>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</si>
  <si>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</si>
  <si>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</si>
  <si>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</si>
  <si>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</si>
  <si>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</si>
  <si>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</si>
  <si>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</si>
  <si>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</si>
  <si>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</si>
  <si>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</si>
  <si>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</si>
  <si>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</si>
  <si>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</si>
  <si>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</si>
  <si>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</si>
  <si>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</si>
  <si>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</si>
  <si>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</si>
  <si>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</si>
  <si>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</si>
  <si>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</si>
  <si>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</si>
  <si>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</si>
  <si>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</si>
  <si>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</si>
  <si>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</si>
  <si>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</si>
  <si>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</si>
  <si>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</si>
  <si>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</si>
  <si>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</si>
  <si>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</si>
  <si>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</si>
  <si>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</si>
  <si>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</si>
  <si>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</si>
  <si>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</si>
  <si>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</si>
  <si>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</si>
  <si>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</si>
  <si>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</si>
  <si>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</si>
  <si>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</si>
  <si>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</si>
  <si>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</si>
  <si>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</si>
  <si>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</si>
  <si>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</si>
  <si>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</si>
  <si>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</si>
  <si>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</si>
  <si>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</si>
  <si>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</si>
  <si>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</si>
  <si>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</si>
  <si>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</si>
  <si>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</si>
  <si>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</si>
  <si>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</si>
  <si>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</si>
  <si>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</si>
  <si>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</si>
  <si>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</si>
  <si>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</si>
  <si>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</si>
  <si>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</si>
  <si>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</si>
  <si>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</si>
  <si>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</si>
  <si>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</si>
  <si>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</si>
  <si>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</si>
  <si>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</si>
  <si>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</si>
  <si>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</si>
  <si>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</si>
  <si>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</si>
  <si>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</si>
  <si>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</si>
  <si>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</si>
  <si>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</si>
  <si>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</si>
  <si>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</si>
  <si>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</si>
  <si>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</si>
  <si>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</si>
  <si>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</si>
  <si>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</si>
  <si>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</si>
  <si>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</si>
  <si>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</si>
  <si>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</si>
  <si>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</si>
  <si>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</si>
  <si>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</si>
  <si>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</si>
  <si>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</si>
  <si>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</si>
  <si>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</si>
  <si>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</si>
  <si>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</si>
  <si>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</si>
  <si>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</si>
  <si>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</si>
  <si>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</si>
  <si>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</si>
  <si>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</si>
  <si>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</si>
  <si>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</si>
  <si>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</si>
  <si>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</si>
  <si>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</si>
  <si>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</si>
  <si>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</si>
  <si>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</si>
  <si>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</si>
  <si>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</si>
  <si>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</si>
  <si>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</si>
  <si>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</si>
  <si>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</si>
  <si>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</si>
  <si>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</si>
  <si>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</si>
  <si>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</si>
  <si>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</si>
  <si>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</si>
  <si>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</si>
  <si>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</si>
  <si>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</si>
  <si>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</si>
  <si>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</si>
  <si>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</si>
  <si>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</si>
  <si>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</si>
  <si>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</si>
  <si>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</si>
  <si>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</si>
  <si>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</si>
  <si>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</si>
  <si>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</si>
  <si>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</si>
  <si>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</si>
  <si>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</si>
  <si>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</si>
  <si>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</si>
  <si>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</si>
  <si>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</si>
  <si>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</si>
  <si>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</si>
  <si>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</si>
  <si>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</si>
  <si>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</si>
  <si>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</si>
  <si>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</si>
  <si>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</si>
  <si>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</si>
  <si>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</si>
  <si>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</si>
  <si>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</si>
  <si>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</si>
  <si>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</si>
  <si>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</si>
  <si>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</si>
  <si>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</si>
  <si>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</si>
  <si>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</si>
  <si>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</si>
  <si>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</si>
  <si>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</si>
  <si>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</si>
  <si>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</si>
  <si>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</si>
  <si>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</si>
  <si>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</si>
  <si>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</si>
  <si>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</si>
  <si>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</si>
  <si>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</si>
  <si>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</si>
  <si>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</si>
  <si>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</si>
  <si>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</si>
  <si>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</si>
  <si>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</si>
  <si>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</si>
  <si>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</si>
  <si>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</si>
  <si>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</si>
  <si>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</si>
  <si>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</si>
  <si>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</si>
  <si>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</si>
  <si>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</si>
  <si>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</si>
  <si>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</si>
  <si>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</si>
  <si>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</si>
  <si>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</si>
  <si>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</si>
  <si>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</si>
  <si>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</si>
  <si>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</si>
  <si>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</si>
  <si>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</si>
  <si>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</si>
  <si>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</si>
  <si>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</si>
  <si>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</si>
  <si>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</si>
  <si>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</si>
  <si>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</si>
  <si>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</si>
  <si>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</si>
  <si>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</si>
  <si>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</si>
  <si>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</si>
  <si>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</si>
  <si>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</si>
  <si>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</si>
  <si>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</si>
  <si>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</si>
  <si>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</si>
  <si>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</si>
  <si>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</si>
  <si>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</si>
  <si>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</si>
  <si>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</si>
  <si>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</si>
  <si>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</si>
  <si>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</si>
  <si>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</si>
  <si>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</si>
  <si>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</si>
  <si>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</si>
  <si>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</si>
  <si>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</si>
  <si>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</si>
  <si>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</si>
  <si>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</si>
  <si>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</si>
  <si>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</si>
  <si>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</si>
  <si>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</si>
  <si>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</si>
  <si>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</si>
  <si>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</si>
  <si>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</si>
  <si>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</si>
  <si>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</si>
  <si>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</si>
  <si>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</si>
  <si>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</si>
  <si>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</si>
  <si>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</si>
  <si>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</si>
  <si>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</si>
  <si>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</si>
  <si>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</si>
  <si>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</si>
  <si>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</si>
  <si>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</si>
  <si>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</si>
  <si>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</si>
  <si>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</si>
  <si>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</si>
  <si>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</si>
  <si>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</si>
  <si>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</si>
  <si>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</si>
  <si>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</si>
  <si>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</si>
  <si>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</si>
  <si>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</si>
  <si>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</si>
  <si>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</si>
  <si>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</si>
  <si>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</si>
  <si>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</si>
  <si>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</si>
  <si>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</si>
  <si>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</si>
  <si>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</si>
  <si>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</si>
  <si>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</si>
  <si>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</si>
  <si>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</si>
  <si>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</si>
  <si>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</si>
  <si>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</si>
  <si>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</si>
  <si>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</si>
  <si>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</si>
  <si>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</si>
  <si>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</si>
  <si>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</si>
  <si>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</si>
  <si>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</si>
  <si>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</si>
  <si>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</si>
  <si>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</si>
  <si>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</si>
  <si>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</si>
  <si>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</si>
  <si>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</si>
  <si>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</si>
  <si>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</si>
  <si>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</si>
  <si>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</si>
  <si>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</si>
  <si>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</si>
  <si>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</si>
  <si>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</si>
  <si>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</si>
  <si>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</si>
  <si>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</si>
  <si>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</si>
  <si>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</si>
  <si>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</si>
  <si>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</si>
  <si>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</si>
  <si>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</si>
  <si>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</si>
  <si>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</si>
  <si>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</si>
  <si>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</si>
  <si>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</si>
  <si>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</si>
  <si>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</si>
  <si>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</si>
  <si>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</si>
  <si>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</si>
  <si>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</si>
  <si>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</si>
  <si>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</si>
  <si>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</si>
  <si>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</si>
  <si>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</si>
  <si>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</si>
  <si>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</si>
  <si>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</si>
  <si>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</si>
  <si>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</si>
  <si>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</si>
  <si>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</si>
  <si>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</si>
  <si>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</si>
  <si>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</si>
  <si>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</si>
  <si>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</si>
  <si>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</si>
  <si>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</si>
  <si>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</si>
  <si>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</si>
  <si>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</si>
  <si>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</si>
  <si>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</si>
  <si>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</si>
  <si>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</si>
  <si>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</si>
  <si>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</si>
  <si>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</si>
  <si>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</si>
  <si>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</si>
  <si>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</si>
  <si>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</si>
  <si>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</si>
  <si>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</si>
  <si>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</si>
  <si>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</si>
  <si>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</si>
  <si>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</si>
  <si>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</si>
  <si>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</si>
  <si>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</si>
  <si>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</si>
  <si>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</si>
  <si>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</si>
  <si>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</si>
  <si>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</si>
  <si>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</si>
  <si>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</si>
  <si>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</si>
  <si>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</si>
  <si>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</si>
  <si>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</si>
  <si>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</si>
  <si>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</si>
  <si>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</si>
  <si>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</si>
  <si>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</si>
  <si>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</si>
  <si>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</si>
  <si>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</si>
  <si>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</si>
  <si>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</si>
  <si>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</si>
  <si>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</si>
  <si>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</si>
  <si>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</si>
  <si>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</si>
  <si>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</si>
  <si>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</si>
  <si>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</si>
  <si>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</si>
  <si>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</si>
  <si>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</si>
  <si>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</si>
  <si>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</si>
  <si>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</si>
  <si>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</si>
  <si>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</si>
  <si>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</si>
  <si>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</si>
  <si>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</si>
  <si>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</si>
  <si>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</si>
  <si>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</si>
  <si>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</si>
  <si>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</si>
  <si>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</si>
  <si>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</si>
  <si>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</si>
  <si>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</si>
  <si>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</si>
  <si>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</si>
  <si>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</si>
  <si>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</si>
  <si>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</si>
  <si>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</si>
  <si>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</si>
  <si>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</si>
  <si>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</si>
  <si>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</si>
  <si>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</si>
  <si>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</si>
  <si>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</si>
  <si>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</si>
  <si>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</si>
  <si>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</si>
  <si>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</si>
  <si>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</si>
  <si>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</si>
  <si>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</si>
  <si>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</si>
  <si>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</si>
  <si>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</si>
  <si>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</si>
  <si>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</si>
  <si>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</si>
  <si>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</si>
  <si>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</si>
  <si>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</si>
  <si>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</si>
  <si>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</si>
  <si>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</si>
  <si>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</si>
  <si>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</si>
  <si>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</si>
  <si>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</si>
  <si>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</si>
  <si>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</si>
  <si>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</si>
  <si>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</si>
  <si>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</si>
  <si>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</si>
  <si>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</si>
  <si>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</si>
  <si>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</si>
  <si>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</si>
  <si>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</si>
  <si>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</si>
  <si>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</si>
  <si>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</si>
  <si>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</si>
  <si>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</si>
  <si>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</si>
  <si>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</si>
  <si>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</si>
  <si>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</si>
  <si>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</si>
  <si>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</si>
  <si>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</si>
  <si>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</si>
  <si>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</si>
  <si>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</si>
  <si>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</si>
  <si>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</si>
  <si>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</si>
  <si>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</si>
  <si>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</si>
  <si>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</si>
  <si>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</si>
  <si>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</si>
  <si>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</si>
  <si>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</si>
  <si>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</si>
  <si>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</si>
  <si>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</si>
  <si>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</si>
  <si>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</si>
  <si>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</si>
  <si>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</si>
  <si>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</si>
  <si>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</si>
  <si>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</si>
  <si>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</si>
  <si>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</si>
  <si>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</si>
  <si>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</si>
  <si>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</si>
  <si>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</si>
  <si>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</si>
  <si>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</si>
  <si>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</si>
  <si>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</si>
  <si>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</si>
  <si>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</si>
  <si>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</si>
  <si>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</si>
  <si>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</si>
  <si>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</si>
  <si>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</si>
  <si>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</si>
  <si>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</si>
  <si>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</si>
  <si>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</si>
  <si>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</si>
  <si>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</si>
  <si>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</si>
  <si>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</si>
  <si>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</si>
  <si>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</si>
  <si>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</si>
  <si>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</si>
  <si>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</si>
  <si>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</si>
  <si>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</si>
  <si>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</si>
  <si>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</si>
  <si>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</si>
  <si>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</si>
  <si>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</si>
  <si>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</si>
  <si>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</si>
  <si>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</si>
  <si>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</si>
  <si>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</si>
  <si>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</si>
  <si>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</si>
  <si>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</si>
  <si>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</si>
  <si>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</si>
  <si>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</si>
  <si>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</si>
  <si>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</si>
  <si>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</si>
  <si>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</si>
  <si>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</si>
  <si>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</si>
  <si>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</si>
  <si>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</si>
  <si>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</si>
  <si>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</si>
  <si>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</si>
  <si>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</si>
  <si>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</si>
  <si>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</si>
  <si>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</si>
  <si>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</si>
  <si>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</si>
  <si>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</si>
  <si>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</si>
  <si>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</si>
  <si>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</si>
  <si>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</si>
  <si>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</si>
  <si>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</si>
  <si>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</si>
  <si>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</si>
  <si>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</si>
  <si>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</si>
  <si>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</si>
  <si>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</si>
  <si>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</si>
  <si>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</si>
  <si>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</si>
  <si>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</si>
  <si>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</si>
  <si>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</si>
  <si>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</si>
  <si>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</si>
  <si>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</si>
  <si>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</si>
  <si>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</si>
  <si>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</si>
  <si>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</si>
  <si>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</si>
  <si>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</si>
  <si>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</si>
  <si>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</si>
  <si>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</si>
  <si>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</si>
  <si>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</si>
  <si>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</si>
  <si>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</si>
  <si>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</si>
  <si>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</si>
  <si>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</si>
  <si>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</si>
  <si>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</si>
  <si>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</si>
  <si>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</si>
  <si>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</si>
  <si>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</si>
  <si>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</si>
  <si>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</si>
  <si>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</si>
  <si>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</si>
  <si>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</si>
  <si>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</si>
  <si>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</si>
  <si>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</si>
  <si>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</si>
  <si>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</si>
  <si>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</si>
  <si>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</si>
  <si>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</si>
  <si>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</si>
  <si>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</si>
  <si>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</si>
  <si>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</si>
  <si>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</si>
  <si>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</si>
  <si>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</si>
  <si>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</si>
  <si>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</si>
  <si>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</si>
  <si>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</si>
  <si>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</si>
  <si>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</si>
  <si>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</si>
  <si>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</si>
  <si>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</si>
  <si>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</si>
  <si>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</si>
  <si>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</si>
  <si>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</si>
  <si>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</si>
  <si>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</si>
  <si>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</si>
  <si>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</si>
  <si>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</si>
  <si>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</si>
  <si>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</si>
  <si>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</si>
  <si>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</si>
  <si>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</si>
  <si>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</si>
  <si>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</si>
  <si>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</si>
  <si>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</si>
  <si>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</si>
  <si>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</si>
  <si>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</si>
  <si>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</si>
  <si>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</si>
  <si>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</si>
  <si>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</si>
  <si>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</si>
  <si>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</si>
  <si>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</si>
  <si>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</si>
  <si>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</si>
  <si>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</si>
  <si>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</si>
  <si>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</si>
  <si>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</si>
  <si>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</si>
  <si>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</si>
  <si>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</si>
  <si>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</si>
  <si>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</si>
  <si>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</si>
  <si>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</si>
  <si>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</si>
  <si>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</si>
  <si>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</si>
  <si>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</si>
  <si>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</si>
  <si>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</si>
  <si>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</si>
  <si>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</si>
  <si>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</si>
  <si>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</si>
  <si>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</si>
  <si>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</si>
  <si>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</si>
  <si>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</si>
  <si>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</si>
  <si>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</si>
  <si>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</si>
  <si>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</si>
  <si>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</si>
  <si>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</si>
  <si>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</si>
  <si>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</si>
  <si>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</si>
  <si>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</si>
  <si>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</si>
  <si>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</si>
  <si>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</si>
  <si>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</si>
  <si>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</si>
  <si>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</si>
  <si>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</si>
  <si>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</si>
  <si>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</si>
  <si>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</si>
  <si>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</si>
  <si>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</si>
  <si>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</si>
  <si>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</si>
  <si>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</si>
  <si>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</si>
  <si>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</si>
  <si>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</si>
  <si>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</si>
  <si>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</si>
  <si>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</si>
  <si>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</si>
  <si>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</si>
  <si>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</si>
  <si>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</si>
  <si>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</si>
  <si>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</si>
  <si>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</si>
  <si>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</si>
  <si>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</si>
  <si>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</si>
  <si>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</si>
  <si>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</si>
  <si>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</si>
  <si>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</si>
  <si>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</si>
  <si>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</si>
  <si>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</si>
  <si>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</si>
  <si>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</si>
  <si>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</si>
  <si>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</si>
  <si>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</si>
  <si>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</si>
  <si>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</si>
  <si>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</si>
  <si>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</si>
  <si>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</si>
  <si>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</si>
  <si>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</si>
  <si>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</si>
  <si>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</si>
  <si>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</si>
  <si>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</si>
  <si>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</si>
  <si>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</si>
  <si>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</si>
  <si>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</si>
  <si>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</si>
  <si>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</si>
  <si>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Wakeland Entrada LP</t>
  </si>
  <si>
    <t>Entrada Apartments</t>
  </si>
  <si>
    <t>City of Riverside</t>
  </si>
  <si>
    <t>3900 Main St., 5th Floor</t>
  </si>
  <si>
    <t>Al Zelinka</t>
  </si>
  <si>
    <t>CDLAC-TCAC Joint Application (submitting concurrently)</t>
  </si>
  <si>
    <t>1705 7th Street</t>
  </si>
  <si>
    <t>211-181-019,020,021,022,024,025,026</t>
  </si>
  <si>
    <t>065.0305.03</t>
  </si>
  <si>
    <t>High Segregation &amp; Poverty</t>
  </si>
  <si>
    <t>40%/60%</t>
  </si>
  <si>
    <t>1230 Columbia Street, Suite 950</t>
  </si>
  <si>
    <t>CA</t>
  </si>
  <si>
    <t>John Sugden</t>
  </si>
  <si>
    <t>619.326.6212</t>
  </si>
  <si>
    <t>jsugden@wakelandhdc.com</t>
  </si>
  <si>
    <t>Project Manager</t>
  </si>
  <si>
    <t>Wakeland Entrada LLC</t>
  </si>
  <si>
    <t>Managing GP</t>
  </si>
  <si>
    <t>Administrative GP</t>
  </si>
  <si>
    <t>RHDC Entrada, LLC</t>
  </si>
  <si>
    <t>4250 Brockton Ave.</t>
  </si>
  <si>
    <t>Riverside Housing Development Corporation (RHDC)</t>
  </si>
  <si>
    <t>951.341.6511</t>
  </si>
  <si>
    <t>Limited Partner TBD</t>
  </si>
  <si>
    <t>San Diego, CA 92101</t>
  </si>
  <si>
    <t>Wakeland Housing &amp; Development Corporation</t>
  </si>
  <si>
    <t>Rodriguez Associates Architects &amp; Planners, Inc.</t>
  </si>
  <si>
    <t>4080 Centre Street, Suite 104</t>
  </si>
  <si>
    <t>San Diego, CA  92103</t>
  </si>
  <si>
    <t>Carlos Rodriguez</t>
  </si>
  <si>
    <t xml:space="preserve">619.544.8951  </t>
  </si>
  <si>
    <t xml:space="preserve">619.544.8941  </t>
  </si>
  <si>
    <t>carlosr@ra-architects.net</t>
  </si>
  <si>
    <t>Goldfarb &amp; Lipman LLP</t>
  </si>
  <si>
    <t>1300 Clay Street, Eleventh Floor</t>
  </si>
  <si>
    <t>Oakland, CA 94612</t>
  </si>
  <si>
    <t>Heather J. Gould</t>
  </si>
  <si>
    <t>510.433.6633</t>
  </si>
  <si>
    <t>hgould@goldfarblipman.com</t>
  </si>
  <si>
    <t>Allgire General Contractors</t>
  </si>
  <si>
    <t>3278 Grey Hawk Court</t>
  </si>
  <si>
    <t>Carlsbad, CA 92010</t>
  </si>
  <si>
    <t>Wyatt Barrett</t>
  </si>
  <si>
    <t xml:space="preserve">(760) 477-8455 </t>
  </si>
  <si>
    <t>wbarrett@allgire.com</t>
  </si>
  <si>
    <t>Carol Roberts</t>
  </si>
  <si>
    <t>2647 Gateway Road, 105-345</t>
  </si>
  <si>
    <t>Carlsbad, CA 92009</t>
  </si>
  <si>
    <t xml:space="preserve">g.r.e.g. Consulting, Inc. </t>
  </si>
  <si>
    <t>760-585-5310</t>
  </si>
  <si>
    <t>carol@gregconsulting.net</t>
  </si>
  <si>
    <t>TBD</t>
  </si>
  <si>
    <t>Kinetic Valuation Group</t>
  </si>
  <si>
    <t>11060 Oak Street, Suite 6</t>
  </si>
  <si>
    <t>Omaha, NE 68144</t>
  </si>
  <si>
    <t>Jay Wortmann</t>
  </si>
  <si>
    <t>818.914.1892</t>
  </si>
  <si>
    <t>Jay@kvgteam.com</t>
  </si>
  <si>
    <t xml:space="preserve">ConAm Mgmt Corp </t>
  </si>
  <si>
    <t xml:space="preserve">3990 Ruffin Road Suite 100 </t>
  </si>
  <si>
    <t>San Diego, CA 92123</t>
  </si>
  <si>
    <t xml:space="preserve">Michelle Sites </t>
  </si>
  <si>
    <t xml:space="preserve">858-614-7376 </t>
  </si>
  <si>
    <t xml:space="preserve">858-614-1646  </t>
  </si>
  <si>
    <t>msites@conam.com</t>
  </si>
  <si>
    <t>Inner City Infill Site</t>
  </si>
  <si>
    <t>High Density Residential</t>
  </si>
  <si>
    <t>R-3-1500, 29 DUs per acre</t>
  </si>
  <si>
    <t>Affordability covenant pursiant to the land donation</t>
  </si>
  <si>
    <t>Riverside Public Utilities</t>
  </si>
  <si>
    <t>Provided</t>
  </si>
  <si>
    <t>Not Applicable</t>
  </si>
  <si>
    <t>Bruce Kulpa</t>
  </si>
  <si>
    <t>California Housing Partnership</t>
  </si>
  <si>
    <t xml:space="preserve">600 Wilshire Blvd., Suite 890 </t>
  </si>
  <si>
    <t xml:space="preserve"> Los Angeles, CA 90017</t>
  </si>
  <si>
    <t>Genise Choy</t>
  </si>
  <si>
    <t xml:space="preserve">(213) 986-5376 </t>
  </si>
  <si>
    <t>gchoy@chpc.net</t>
  </si>
  <si>
    <t>California Municipal Finance Authority</t>
  </si>
  <si>
    <t>2111 Palomar Airport Rd, Suite 320</t>
  </si>
  <si>
    <t>Carlsbad, CA 92011</t>
  </si>
  <si>
    <t>Anthony Stubbs</t>
  </si>
  <si>
    <t>(760) 930-1333</t>
  </si>
  <si>
    <t>(760) 683-3390</t>
  </si>
  <si>
    <t>astubbs@cmfa-ca.com</t>
  </si>
  <si>
    <t>0</t>
  </si>
  <si>
    <t>86 Spaces</t>
  </si>
  <si>
    <t>36 Feet</t>
  </si>
  <si>
    <t>HCD AHSC Loan</t>
  </si>
  <si>
    <t>HCD AHSC Grant - HRI</t>
  </si>
  <si>
    <t>0%</t>
  </si>
  <si>
    <t>The sponsor has previously developed affordable housing within the community in which the QRRP will be located in the past 20 years</t>
  </si>
  <si>
    <t>Other: Photo Voltaic</t>
  </si>
  <si>
    <t>Other: Security</t>
  </si>
  <si>
    <t>Other: Permanent Relocation</t>
  </si>
  <si>
    <t>Other: HCD Transition Reserve</t>
  </si>
  <si>
    <t>Tax-Exempt Construction Loan</t>
  </si>
  <si>
    <t>Taxable Construction Loan</t>
  </si>
  <si>
    <t>CDLAC Performance Deposit Refund</t>
  </si>
  <si>
    <t>Costs Deferred Until Conversion</t>
  </si>
  <si>
    <t>LP Capital Contribution</t>
  </si>
  <si>
    <t>GP Capital Contribution</t>
  </si>
  <si>
    <t>Other: Acquisition Title/Recording/Escrow</t>
  </si>
  <si>
    <t>Other: Perm Financing Placement, Resident Services Program Set-Up, 100% Lease-Up Fees</t>
  </si>
  <si>
    <t>Other: Construction Lender Expenses</t>
  </si>
  <si>
    <t>Other: Construction Closing Owner Legal</t>
  </si>
  <si>
    <t>$500M</t>
  </si>
  <si>
    <t>City of Riverside Loan</t>
  </si>
  <si>
    <t>AHSC Loan &amp; Grants</t>
  </si>
  <si>
    <t>Project-based vouchers (PBVs)</t>
  </si>
  <si>
    <t>(951) 826-5311</t>
  </si>
  <si>
    <t>Please see Tab 1</t>
  </si>
  <si>
    <t>Various</t>
  </si>
  <si>
    <t>Not required, but 1.3 per unit provided</t>
  </si>
  <si>
    <t>Same with density bonus at 32 Dus per acres</t>
  </si>
  <si>
    <t>RPU Fee</t>
  </si>
  <si>
    <t>Fixed</t>
  </si>
  <si>
    <t>Variable</t>
  </si>
  <si>
    <t>401 B Street, Suite 1100</t>
  </si>
  <si>
    <t xml:space="preserve">Paul Shipstead </t>
  </si>
  <si>
    <t>(619) 699-3135</t>
  </si>
  <si>
    <t>Wells Fargo Tax-Exempt Construction Loan</t>
  </si>
  <si>
    <t>Wells Fargo Taxable Construction Loan</t>
  </si>
  <si>
    <t>PO Box 952054</t>
  </si>
  <si>
    <t xml:space="preserve">Terri Wright </t>
  </si>
  <si>
    <t>916-263-7454</t>
  </si>
  <si>
    <t>Grant contributed as loan</t>
  </si>
  <si>
    <t>Residual receipts loan</t>
  </si>
  <si>
    <t>3900 Main Street, 5th Floor</t>
  </si>
  <si>
    <t>Riverside,</t>
  </si>
  <si>
    <t>Jeff McLaughlin</t>
  </si>
  <si>
    <t>951.826.5649</t>
  </si>
  <si>
    <t>1230 Columbia Street, #950</t>
  </si>
  <si>
    <t>San Diego CA 92101</t>
  </si>
  <si>
    <t>619.917.1424</t>
  </si>
  <si>
    <t>Refund</t>
  </si>
  <si>
    <t>Deferred costs</t>
  </si>
  <si>
    <t>100 West Broadway, Suite 100</t>
  </si>
  <si>
    <t>Glendale</t>
  </si>
  <si>
    <t>Mark Rasmussen</t>
  </si>
  <si>
    <t>(818) 550-9807</t>
  </si>
  <si>
    <t>Tax exempt bond permanent loan</t>
  </si>
  <si>
    <t>PO Box 252054</t>
  </si>
  <si>
    <t>Contribution</t>
  </si>
  <si>
    <t>Office Supplies, Phone, Misc</t>
  </si>
  <si>
    <t>Payroll Taxes &amp; Benefits</t>
  </si>
  <si>
    <t>Maintenance/Janitorial Contracts</t>
  </si>
  <si>
    <t>Misc. Tax/Licenses/Permits</t>
  </si>
  <si>
    <t>HUD</t>
  </si>
  <si>
    <t>20 years</t>
  </si>
  <si>
    <t>ConAm Property Management</t>
  </si>
  <si>
    <t>1 bedroom</t>
  </si>
  <si>
    <t>2 bedroom</t>
  </si>
  <si>
    <t>3 bedroom</t>
  </si>
  <si>
    <t>contribution</t>
  </si>
  <si>
    <t>tax credit equity</t>
  </si>
  <si>
    <t>CCRC Permanent Loan</t>
  </si>
  <si>
    <t>Other: (Legal)</t>
  </si>
  <si>
    <t>Other (Annual Issuer Fee):</t>
  </si>
  <si>
    <t>Other Operating Expenses (misc. fees, licenses):</t>
  </si>
  <si>
    <t>Annual Issuer Fee</t>
  </si>
  <si>
    <t>Mandatory Annual HCD Payment</t>
  </si>
  <si>
    <t>10/1/2041</t>
  </si>
  <si>
    <t>Wakeland HDC</t>
  </si>
  <si>
    <t>PBVs</t>
  </si>
  <si>
    <t>HCD AHSC Loan - HRI</t>
  </si>
  <si>
    <t>bkulpa@rhdcca.org</t>
  </si>
  <si>
    <t>interest only</t>
  </si>
  <si>
    <t>May</t>
  </si>
  <si>
    <t>, 2021 at</t>
  </si>
  <si>
    <t>Rebecca Louie</t>
  </si>
  <si>
    <t>Vice President/COO of Wakeland Housing &amp; Development Corporation</t>
  </si>
  <si>
    <t xml:space="preserve">10 hours </t>
  </si>
  <si>
    <t>per week</t>
  </si>
  <si>
    <t>0.25 FTE</t>
  </si>
  <si>
    <t>HCD AHSC loan</t>
  </si>
  <si>
    <t>HCD AHSC grant - HRI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</si>
</sst>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25575">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4" fontId="169" fillId="0" borderId="0" applyFont="0" applyFill="0" applyBorder="0" applyAlignment="0" applyProtection="0"/>
    <xf numFmtId="43" fontId="169"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165" fontId="19" fillId="0" borderId="0" xfId="271" applyNumberFormat="1" applyFont="1" applyBorder="1" applyAlignment="1" applyProtection="1">
      <alignment horizontal="center"/>
    </xf>
    <xf numFmtId="0" fontId="19" fillId="0" borderId="0" xfId="271" applyFont="1" applyBorder="1" applyAlignment="1" applyProtection="1">
      <alignment horizontal="center"/>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2" fillId="0" borderId="0" xfId="0" applyFont="1" applyFill="1" applyProtection="1">
      <protection locked="0"/>
    </xf>
    <xf numFmtId="0" fontId="114" fillId="0" borderId="0" xfId="0" applyFont="1" applyBorder="1" applyProtection="1"/>
    <xf numFmtId="0" fontId="101" fillId="0" borderId="0" xfId="0" applyFont="1" applyBorder="1" applyAlignment="1" applyProtection="1">
      <alignment horizontal="right"/>
    </xf>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49" fontId="132" fillId="0" borderId="0" xfId="570" applyNumberFormat="1" applyFont="1" applyFill="1" applyBorder="1" applyAlignment="1" applyProtection="1">
      <alignment vertical="center"/>
    </xf>
    <xf numFmtId="0" fontId="17" fillId="0" borderId="0" xfId="570" applyFont="1" applyBorder="1"/>
    <xf numFmtId="0" fontId="17" fillId="0" borderId="0" xfId="570" applyFont="1" applyFill="1" applyBorder="1"/>
    <xf numFmtId="0" fontId="17" fillId="0" borderId="0" xfId="570" applyFont="1" applyBorder="1" applyAlignment="1">
      <alignment horizontal="left" vertical="center" wrapText="1"/>
    </xf>
    <xf numFmtId="0" fontId="17" fillId="0" borderId="0" xfId="570" applyFont="1" applyBorder="1" applyAlignment="1">
      <alignment horizontal="left" vertical="center"/>
    </xf>
    <xf numFmtId="1" fontId="17" fillId="0" borderId="6" xfId="570" applyNumberFormat="1" applyFont="1" applyFill="1" applyBorder="1" applyAlignment="1">
      <alignment horizontal="left" vertical="center" wrapText="1"/>
    </xf>
    <xf numFmtId="0" fontId="17" fillId="0" borderId="6" xfId="570" applyFont="1" applyFill="1" applyBorder="1" applyAlignment="1" applyProtection="1">
      <alignment horizontal="left" vertical="center" wrapText="1"/>
    </xf>
    <xf numFmtId="0" fontId="17" fillId="5" borderId="6" xfId="570" applyFont="1" applyFill="1" applyBorder="1" applyAlignment="1" applyProtection="1">
      <alignment horizontal="left" vertical="center" wrapText="1"/>
      <protection locked="0"/>
    </xf>
    <xf numFmtId="0" fontId="17" fillId="0" borderId="0" xfId="570" applyFont="1" applyBorder="1" applyAlignment="1">
      <alignment horizontal="left"/>
    </xf>
    <xf numFmtId="0" fontId="17" fillId="0" borderId="0" xfId="570" applyFont="1" applyBorder="1" applyAlignment="1" applyProtection="1">
      <alignment horizontal="left"/>
    </xf>
    <xf numFmtId="0" fontId="17" fillId="0" borderId="6" xfId="570" applyFont="1" applyFill="1" applyBorder="1" applyAlignment="1" applyProtection="1">
      <alignment horizontal="left" wrapText="1"/>
    </xf>
    <xf numFmtId="0" fontId="17" fillId="0" borderId="6" xfId="570" applyFont="1" applyBorder="1"/>
    <xf numFmtId="0" fontId="19" fillId="43" borderId="8" xfId="570" applyFont="1" applyFill="1" applyBorder="1" applyAlignment="1"/>
    <xf numFmtId="0" fontId="12" fillId="43" borderId="0" xfId="570" applyFill="1" applyBorder="1" applyAlignment="1"/>
    <xf numFmtId="0" fontId="132" fillId="49" borderId="15" xfId="570" applyFont="1" applyFill="1" applyBorder="1" applyAlignment="1" applyProtection="1">
      <alignment horizontal="center" vertical="center" wrapText="1"/>
    </xf>
    <xf numFmtId="49" fontId="132" fillId="49" borderId="15" xfId="570" applyNumberFormat="1" applyFont="1" applyFill="1" applyBorder="1" applyAlignment="1" applyProtection="1">
      <alignment horizontal="center" vertical="center" wrapText="1"/>
    </xf>
    <xf numFmtId="49" fontId="17" fillId="0" borderId="8" xfId="570" applyNumberFormat="1" applyFont="1" applyBorder="1"/>
    <xf numFmtId="0" fontId="17" fillId="5" borderId="14" xfId="570" applyFont="1" applyFill="1" applyBorder="1" applyProtection="1">
      <protection locked="0"/>
    </xf>
    <xf numFmtId="168" fontId="17" fillId="5" borderId="14" xfId="570" applyNumberFormat="1" applyFont="1" applyFill="1" applyBorder="1" applyProtection="1">
      <protection locked="0"/>
    </xf>
    <xf numFmtId="49" fontId="17" fillId="5" borderId="14" xfId="570" applyNumberFormat="1" applyFont="1" applyFill="1" applyBorder="1" applyProtection="1">
      <protection locked="0"/>
    </xf>
    <xf numFmtId="3" fontId="17" fillId="5" borderId="14" xfId="570" applyNumberFormat="1" applyFont="1" applyFill="1" applyBorder="1" applyProtection="1">
      <protection locked="0"/>
    </xf>
    <xf numFmtId="0" fontId="17" fillId="0" borderId="12" xfId="570" applyFont="1" applyFill="1" applyBorder="1"/>
    <xf numFmtId="0" fontId="17" fillId="5" borderId="12" xfId="570" applyFont="1" applyFill="1" applyBorder="1" applyProtection="1">
      <protection locked="0"/>
    </xf>
    <xf numFmtId="49" fontId="17" fillId="0" borderId="9" xfId="570" applyNumberFormat="1" applyFont="1" applyBorder="1"/>
    <xf numFmtId="0" fontId="17" fillId="0" borderId="6" xfId="570" applyFont="1" applyFill="1" applyBorder="1"/>
    <xf numFmtId="0" fontId="17" fillId="0" borderId="10" xfId="570" applyFont="1" applyFill="1" applyBorder="1"/>
    <xf numFmtId="49" fontId="19" fillId="43" borderId="8" xfId="570" applyNumberFormat="1" applyFont="1" applyFill="1" applyBorder="1"/>
    <xf numFmtId="0" fontId="17" fillId="43" borderId="0" xfId="570" applyFont="1" applyFill="1" applyBorder="1"/>
    <xf numFmtId="0" fontId="17" fillId="49" borderId="14" xfId="570" applyFont="1" applyFill="1" applyBorder="1" applyProtection="1"/>
    <xf numFmtId="3" fontId="17" fillId="49" borderId="14" xfId="570" applyNumberFormat="1" applyFont="1" applyFill="1" applyBorder="1" applyProtection="1"/>
    <xf numFmtId="49" fontId="17" fillId="49" borderId="14" xfId="570" applyNumberFormat="1" applyFont="1" applyFill="1" applyBorder="1" applyProtection="1"/>
    <xf numFmtId="0" fontId="17" fillId="0" borderId="9" xfId="570" applyFont="1" applyBorder="1"/>
    <xf numFmtId="49" fontId="61" fillId="43" borderId="8" xfId="570" applyNumberFormat="1" applyFont="1" applyFill="1" applyBorder="1"/>
    <xf numFmtId="0" fontId="17" fillId="49" borderId="14" xfId="570" applyFont="1" applyFill="1" applyBorder="1" applyProtection="1">
      <protection locked="0"/>
    </xf>
    <xf numFmtId="3" fontId="17" fillId="49" borderId="14" xfId="570" applyNumberFormat="1" applyFont="1" applyFill="1" applyBorder="1" applyProtection="1">
      <protection locked="0"/>
    </xf>
    <xf numFmtId="49" fontId="17" fillId="49" borderId="14" xfId="570" applyNumberFormat="1" applyFont="1" applyFill="1" applyBorder="1" applyProtection="1">
      <protection locked="0"/>
    </xf>
    <xf numFmtId="0" fontId="17" fillId="5" borderId="6" xfId="570" applyFont="1" applyFill="1" applyBorder="1" applyProtection="1">
      <protection locked="0"/>
    </xf>
    <xf numFmtId="0" fontId="17" fillId="5" borderId="4" xfId="570" applyFont="1" applyFill="1" applyBorder="1" applyProtection="1">
      <protection locked="0"/>
    </xf>
    <xf numFmtId="0" fontId="17" fillId="0" borderId="13" xfId="570" applyFont="1" applyBorder="1"/>
    <xf numFmtId="49" fontId="61" fillId="0" borderId="3" xfId="570" applyNumberFormat="1" applyFont="1" applyBorder="1"/>
    <xf numFmtId="0" fontId="17" fillId="0" borderId="4" xfId="570" applyFont="1" applyBorder="1"/>
    <xf numFmtId="0" fontId="17" fillId="3" borderId="13" xfId="570" applyFont="1" applyFill="1" applyBorder="1"/>
    <xf numFmtId="168" fontId="17" fillId="0" borderId="11" xfId="570" applyNumberFormat="1" applyFont="1" applyBorder="1"/>
    <xf numFmtId="0" fontId="17" fillId="3" borderId="5" xfId="570" applyFont="1" applyFill="1" applyBorder="1"/>
    <xf numFmtId="0" fontId="142" fillId="0" borderId="0" xfId="570" applyFont="1" applyBorder="1"/>
    <xf numFmtId="0" fontId="142" fillId="0" borderId="0" xfId="570" applyFont="1" applyBorder="1" applyProtection="1">
      <protection locked="0"/>
    </xf>
    <xf numFmtId="0" fontId="17" fillId="0" borderId="0" xfId="570" applyFont="1" applyBorder="1" applyProtection="1">
      <protection locked="0"/>
    </xf>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44" fillId="0" borderId="50" xfId="1193" applyFont="1" applyBorder="1" applyAlignment="1" applyProtection="1">
      <alignment horizontal="left"/>
    </xf>
    <xf numFmtId="0" fontId="145" fillId="0" borderId="51" xfId="4496" applyFont="1" applyFill="1" applyBorder="1" applyAlignment="1" applyProtection="1">
      <alignment vertical="top"/>
    </xf>
    <xf numFmtId="0" fontId="144" fillId="0" borderId="51" xfId="4496" applyFont="1" applyFill="1" applyBorder="1" applyAlignment="1" applyProtection="1">
      <alignment vertical="top" wrapText="1"/>
    </xf>
    <xf numFmtId="0" fontId="145" fillId="0" borderId="51" xfId="4496" applyFont="1" applyBorder="1" applyProtection="1"/>
    <xf numFmtId="0" fontId="145" fillId="0" borderId="53" xfId="1193" applyFont="1" applyBorder="1" applyAlignment="1" applyProtection="1">
      <alignment horizontal="left"/>
    </xf>
    <xf numFmtId="0" fontId="145" fillId="0" borderId="0" xfId="4496" applyFont="1" applyFill="1" applyBorder="1" applyAlignment="1" applyProtection="1">
      <alignment vertical="top"/>
    </xf>
    <xf numFmtId="0" fontId="144" fillId="0" borderId="0" xfId="4496" applyFont="1" applyFill="1" applyBorder="1" applyAlignment="1" applyProtection="1">
      <alignment vertical="top" wrapText="1"/>
    </xf>
    <xf numFmtId="0" fontId="145" fillId="0" borderId="0" xfId="4496" applyFont="1" applyBorder="1" applyProtection="1"/>
    <xf numFmtId="0" fontId="144" fillId="0" borderId="53" xfId="1193" applyFont="1" applyBorder="1" applyAlignment="1" applyProtection="1">
      <alignment horizontal="left"/>
    </xf>
    <xf numFmtId="0" fontId="144" fillId="0" borderId="57" xfId="1193" applyFont="1" applyBorder="1" applyAlignment="1" applyProtection="1">
      <alignment horizontal="left"/>
    </xf>
    <xf numFmtId="0" fontId="145" fillId="0" borderId="58" xfId="4496" applyFont="1" applyFill="1" applyBorder="1" applyAlignment="1" applyProtection="1">
      <alignment vertical="top"/>
    </xf>
    <xf numFmtId="0" fontId="144" fillId="0" borderId="58" xfId="4496" applyFont="1" applyFill="1" applyBorder="1" applyAlignment="1" applyProtection="1">
      <alignment vertical="top" wrapText="1"/>
    </xf>
    <xf numFmtId="0" fontId="145"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5" fillId="0" borderId="0" xfId="4501"/>
    <xf numFmtId="0" fontId="99" fillId="0" borderId="0" xfId="4501" applyFont="1"/>
    <xf numFmtId="0" fontId="5" fillId="51" borderId="67" xfId="4501" applyFill="1" applyBorder="1"/>
    <xf numFmtId="0" fontId="5" fillId="51" borderId="0" xfId="4501" applyFill="1"/>
    <xf numFmtId="0" fontId="98" fillId="51" borderId="41" xfId="4501" applyFont="1" applyFill="1" applyBorder="1" applyAlignment="1">
      <alignment horizontal="center"/>
    </xf>
    <xf numFmtId="0" fontId="98" fillId="51" borderId="0" xfId="4501" applyFont="1" applyFill="1"/>
    <xf numFmtId="183" fontId="0" fillId="51" borderId="0" xfId="4502" applyNumberFormat="1" applyFont="1" applyFill="1" applyBorder="1" applyAlignment="1"/>
    <xf numFmtId="183" fontId="99" fillId="51" borderId="0" xfId="4502" applyNumberFormat="1" applyFont="1" applyFill="1" applyBorder="1" applyAlignment="1"/>
    <xf numFmtId="183" fontId="153" fillId="51" borderId="0" xfId="4502" applyNumberFormat="1" applyFont="1" applyFill="1" applyBorder="1" applyAlignment="1"/>
    <xf numFmtId="0" fontId="5" fillId="51" borderId="41" xfId="4501" applyFill="1" applyBorder="1"/>
    <xf numFmtId="0" fontId="99" fillId="51" borderId="0" xfId="4501" applyFont="1" applyFill="1"/>
    <xf numFmtId="0" fontId="159" fillId="51" borderId="0" xfId="4501" applyFont="1" applyFill="1"/>
    <xf numFmtId="0" fontId="98" fillId="51" borderId="41" xfId="4501" applyFont="1" applyFill="1" applyBorder="1"/>
    <xf numFmtId="0" fontId="98" fillId="0" borderId="0" xfId="4501" applyFont="1"/>
    <xf numFmtId="0" fontId="98" fillId="45" borderId="0" xfId="4501" applyFont="1" applyFill="1"/>
    <xf numFmtId="0" fontId="5" fillId="45" borderId="0" xfId="4501" applyFill="1"/>
    <xf numFmtId="0" fontId="161" fillId="51" borderId="0" xfId="4501" applyFont="1" applyFill="1"/>
    <xf numFmtId="0" fontId="5" fillId="50" borderId="66" xfId="4501" applyFill="1" applyBorder="1"/>
    <xf numFmtId="0" fontId="5" fillId="50" borderId="29" xfId="4501" applyFill="1" applyBorder="1"/>
    <xf numFmtId="0" fontId="5" fillId="50" borderId="31" xfId="4501" applyFill="1" applyBorder="1"/>
    <xf numFmtId="0" fontId="5" fillId="50" borderId="67" xfId="4501" applyFill="1" applyBorder="1"/>
    <xf numFmtId="0" fontId="5" fillId="50" borderId="0" xfId="4501" applyFill="1" applyBorder="1"/>
    <xf numFmtId="0" fontId="5" fillId="50" borderId="41" xfId="4501" applyFill="1" applyBorder="1"/>
    <xf numFmtId="0" fontId="5" fillId="50" borderId="88" xfId="4501" applyFill="1" applyBorder="1"/>
    <xf numFmtId="0" fontId="5" fillId="50" borderId="42" xfId="4501" applyFill="1" applyBorder="1"/>
    <xf numFmtId="0" fontId="5" fillId="50" borderId="44" xfId="4501" applyFill="1" applyBorder="1"/>
    <xf numFmtId="0" fontId="149" fillId="45" borderId="0" xfId="4501" applyFont="1" applyFill="1" applyAlignment="1">
      <alignment horizontal="left"/>
    </xf>
    <xf numFmtId="0" fontId="150" fillId="50" borderId="4" xfId="4501" applyFont="1" applyFill="1" applyBorder="1" applyAlignment="1">
      <alignment horizontal="center"/>
    </xf>
    <xf numFmtId="0" fontId="150" fillId="50" borderId="81" xfId="4501" applyFont="1" applyFill="1" applyBorder="1" applyAlignment="1">
      <alignment horizontal="center"/>
    </xf>
    <xf numFmtId="0" fontId="5" fillId="51" borderId="0" xfId="4501" applyFill="1" applyBorder="1"/>
    <xf numFmtId="0" fontId="98" fillId="51" borderId="67" xfId="4501" applyFont="1" applyFill="1" applyBorder="1"/>
    <xf numFmtId="49" fontId="98" fillId="51" borderId="67" xfId="4501" applyNumberFormat="1" applyFont="1" applyFill="1" applyBorder="1" applyAlignment="1">
      <alignment horizontal="right" vertical="top"/>
    </xf>
    <xf numFmtId="0" fontId="98" fillId="51" borderId="0" xfId="4501" applyFont="1" applyFill="1" applyBorder="1"/>
    <xf numFmtId="0" fontId="5" fillId="51" borderId="0" xfId="4501" applyFill="1" applyBorder="1" applyAlignment="1">
      <alignment vertical="top" wrapText="1"/>
    </xf>
    <xf numFmtId="0" fontId="5" fillId="51" borderId="88" xfId="4501" applyFill="1" applyBorder="1"/>
    <xf numFmtId="0" fontId="5" fillId="51" borderId="42" xfId="4501" applyFill="1" applyBorder="1"/>
    <xf numFmtId="0" fontId="5" fillId="51" borderId="44" xfId="4501" applyFill="1" applyBorder="1"/>
    <xf numFmtId="0" fontId="5" fillId="45" borderId="67" xfId="4501" applyFill="1" applyBorder="1"/>
    <xf numFmtId="0" fontId="5" fillId="45" borderId="0" xfId="4501" applyFill="1" applyBorder="1"/>
    <xf numFmtId="0" fontId="5" fillId="45" borderId="41" xfId="4501" applyFill="1" applyBorder="1"/>
    <xf numFmtId="0" fontId="5" fillId="45" borderId="0" xfId="4501" applyFill="1" applyBorder="1" applyAlignment="1">
      <alignment horizontal="left"/>
    </xf>
    <xf numFmtId="0" fontId="5" fillId="45" borderId="88" xfId="4501" applyFill="1" applyBorder="1"/>
    <xf numFmtId="0" fontId="5" fillId="45" borderId="42" xfId="4501" applyFill="1" applyBorder="1"/>
    <xf numFmtId="0" fontId="5" fillId="45" borderId="44" xfId="4501" applyFill="1" applyBorder="1"/>
    <xf numFmtId="0" fontId="166" fillId="0" borderId="0" xfId="4501" applyFont="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67"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67"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0" fontId="4" fillId="0" borderId="0" xfId="4501" applyFont="1"/>
    <xf numFmtId="0" fontId="4" fillId="51" borderId="0" xfId="4501" applyFont="1" applyFill="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6" applyFont="1" applyAlignment="1" applyProtection="1">
      <alignment horizontal="center"/>
    </xf>
    <xf numFmtId="43" fontId="12" fillId="0" borderId="0" xfId="4506" applyFont="1" applyAlignment="1" applyProtection="1">
      <alignment horizontal="center"/>
    </xf>
    <xf numFmtId="43" fontId="12" fillId="0" borderId="0" xfId="4506" applyFont="1" applyProtection="1"/>
    <xf numFmtId="0" fontId="19" fillId="0" borderId="0" xfId="0" applyFont="1" applyAlignment="1">
      <alignment vertical="top"/>
    </xf>
    <xf numFmtId="0" fontId="19" fillId="0" borderId="0" xfId="570" applyFont="1" applyAlignment="1" applyProtection="1">
      <alignment horizontal="lef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5" fillId="51" borderId="67" xfId="4501" applyFill="1" applyBorder="1" applyProtection="1"/>
    <xf numFmtId="0" fontId="5" fillId="51" borderId="0" xfId="4501" applyFill="1" applyProtection="1"/>
    <xf numFmtId="0" fontId="98" fillId="51" borderId="0" xfId="4501" applyFont="1" applyFill="1" applyProtection="1"/>
    <xf numFmtId="0" fontId="5" fillId="0" borderId="0" xfId="4501" applyProtection="1"/>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12" fillId="0" borderId="0" xfId="570" applyFont="1" applyAlignment="1">
      <alignment horizontal="left" vertical="top" wrapText="1"/>
    </xf>
    <xf numFmtId="0" fontId="12" fillId="0" borderId="16" xfId="570" applyFont="1" applyBorder="1" applyAlignment="1" applyProtection="1">
      <alignment horizontal="center"/>
    </xf>
    <xf numFmtId="0" fontId="12" fillId="0" borderId="0" xfId="570" applyAlignment="1">
      <alignment wrapText="1"/>
    </xf>
    <xf numFmtId="0" fontId="12" fillId="0" borderId="0" xfId="570" applyFont="1" applyAlignment="1"/>
    <xf numFmtId="0" fontId="12" fillId="0" borderId="0" xfId="570" applyFont="1" applyAlignment="1" applyProtection="1">
      <alignment horizontal="left" vertical="top"/>
    </xf>
    <xf numFmtId="0" fontId="12" fillId="0" borderId="0" xfId="1193" applyAlignment="1">
      <alignment vertical="top" wrapText="1"/>
    </xf>
    <xf numFmtId="164" fontId="12" fillId="0" borderId="57" xfId="4496" applyNumberFormat="1" applyFont="1" applyFill="1" applyBorder="1" applyAlignment="1" applyProtection="1">
      <alignment vertical="top" wrapText="1"/>
    </xf>
    <xf numFmtId="164" fontId="12" fillId="0" borderId="58" xfId="4496" applyNumberFormat="1" applyFont="1" applyFill="1" applyBorder="1" applyAlignment="1" applyProtection="1">
      <alignment vertical="top" wrapText="1"/>
    </xf>
    <xf numFmtId="164" fontId="12" fillId="0" borderId="59" xfId="4496" applyNumberFormat="1" applyFont="1" applyFill="1" applyBorder="1" applyAlignment="1" applyProtection="1">
      <alignment vertical="top" wrapText="1"/>
    </xf>
    <xf numFmtId="0" fontId="19" fillId="0" borderId="0" xfId="570" applyFont="1" applyFill="1" applyAlignment="1" applyProtection="1">
      <alignment horizontal="center"/>
    </xf>
    <xf numFmtId="0" fontId="19" fillId="0" borderId="0" xfId="570" applyFont="1" applyFill="1" applyProtection="1"/>
    <xf numFmtId="43" fontId="19" fillId="0" borderId="0" xfId="4506" applyFont="1" applyProtection="1"/>
    <xf numFmtId="0" fontId="19" fillId="0" borderId="0" xfId="570" applyFont="1" applyAlignment="1">
      <alignment vertical="center"/>
    </xf>
    <xf numFmtId="0" fontId="19" fillId="0" borderId="0" xfId="570" applyFont="1" applyAlignment="1" applyProtection="1"/>
    <xf numFmtId="49" fontId="19" fillId="0" borderId="0" xfId="570" applyNumberFormat="1" applyFont="1" applyProtection="1"/>
    <xf numFmtId="49" fontId="19" fillId="0" borderId="0" xfId="570" applyNumberFormat="1" applyFont="1" applyFill="1" applyProtection="1"/>
    <xf numFmtId="4" fontId="19" fillId="0" borderId="0" xfId="570" applyNumberFormat="1" applyFont="1" applyFill="1" applyProtection="1"/>
    <xf numFmtId="0" fontId="12" fillId="0" borderId="0" xfId="570" applyFont="1" applyAlignment="1" applyProtection="1">
      <alignment wrapText="1"/>
    </xf>
    <xf numFmtId="0" fontId="12" fillId="0" borderId="0" xfId="570"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0" fontId="12" fillId="0" borderId="0" xfId="0" applyFont="1" applyFill="1" applyBorder="1" applyAlignment="1">
      <alignment horizontal="left" wrapText="1"/>
    </xf>
    <xf numFmtId="0" fontId="19" fillId="0" borderId="0" xfId="570" quotePrefix="1" applyFont="1" applyProtection="1"/>
    <xf numFmtId="0" fontId="12" fillId="0" borderId="16" xfId="570" applyBorder="1" applyProtection="1"/>
    <xf numFmtId="0" fontId="19" fillId="0" borderId="16" xfId="570" applyFont="1" applyBorder="1" applyProtection="1"/>
    <xf numFmtId="0" fontId="12" fillId="0" borderId="4" xfId="570" applyBorder="1" applyProtection="1"/>
    <xf numFmtId="0" fontId="19" fillId="0" borderId="4" xfId="570" applyFont="1" applyBorder="1" applyProtection="1"/>
    <xf numFmtId="49" fontId="12" fillId="0" borderId="4" xfId="570" applyNumberFormat="1" applyBorder="1" applyProtection="1"/>
    <xf numFmtId="49" fontId="19" fillId="0" borderId="4" xfId="570" applyNumberFormat="1" applyFont="1" applyBorder="1" applyProtection="1"/>
    <xf numFmtId="0" fontId="49" fillId="5" borderId="11" xfId="0" applyFont="1" applyFill="1" applyBorder="1" applyAlignment="1" applyProtection="1">
      <alignment horizontal="right" vertical="top" wrapText="1"/>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0" applyFont="1" applyFill="1" applyAlignment="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70" applyFont="1" applyAlignment="1">
      <alignment horizontal="left"/>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4" fontId="30" fillId="0" borderId="0" xfId="570" applyNumberFormat="1"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70" applyFont="1" applyBorder="1" applyAlignment="1" applyProtection="1">
      <alignment horizontal="left"/>
    </xf>
    <xf numFmtId="0" fontId="19" fillId="0" borderId="4" xfId="570"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3" applyNumberFormat="1" applyFont="1" applyAlignment="1" applyProtection="1">
      <alignment horizontal="left" vertical="top" wrapText="1"/>
    </xf>
    <xf numFmtId="4" fontId="12" fillId="0" borderId="0" xfId="1193"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0" fontId="12" fillId="0" borderId="0" xfId="1193"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0" fontId="12" fillId="0" borderId="0" xfId="1193" applyFont="1" applyFill="1" applyAlignment="1">
      <alignment horizontal="left" vertical="top" wrapText="1"/>
    </xf>
    <xf numFmtId="0" fontId="12" fillId="0" borderId="0" xfId="570" applyFont="1" applyAlignment="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3"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Font="1" applyAlignment="1">
      <alignment vertical="top" wrapText="1"/>
    </xf>
    <xf numFmtId="0" fontId="12" fillId="0" borderId="0" xfId="1193" applyAlignment="1">
      <alignment vertical="top" wrapText="1"/>
    </xf>
    <xf numFmtId="0" fontId="12" fillId="0" borderId="0" xfId="570" applyFont="1" applyAlignment="1"/>
    <xf numFmtId="0" fontId="30" fillId="0" borderId="0" xfId="570" applyFont="1" applyAlignment="1" applyProtection="1">
      <alignment horizontal="center"/>
    </xf>
    <xf numFmtId="0" fontId="19" fillId="0" borderId="0" xfId="570" applyFont="1" applyAlignment="1" applyProtection="1">
      <alignment horizontal="center"/>
    </xf>
    <xf numFmtId="0" fontId="12" fillId="0" borderId="15" xfId="570" applyBorder="1" applyAlignment="1" applyProtection="1">
      <alignment horizontal="center" vertical="top" wrapText="1"/>
    </xf>
    <xf numFmtId="0" fontId="12" fillId="0" borderId="14" xfId="570" applyBorder="1" applyAlignment="1" applyProtection="1">
      <alignment horizontal="center" vertical="top" wrapText="1"/>
    </xf>
    <xf numFmtId="0" fontId="12" fillId="0" borderId="13" xfId="570" applyBorder="1" applyAlignment="1" applyProtection="1">
      <alignment horizontal="center" vertical="top" wrapText="1"/>
    </xf>
    <xf numFmtId="0" fontId="12" fillId="0" borderId="0" xfId="570" applyFont="1" applyAlignment="1" applyProtection="1">
      <alignment horizontal="left" vertical="top" wrapText="1"/>
    </xf>
    <xf numFmtId="0" fontId="12" fillId="0" borderId="0" xfId="570" applyFont="1" applyAlignment="1" applyProtection="1">
      <alignment horizontal="left" vertical="top"/>
    </xf>
    <xf numFmtId="0" fontId="30" fillId="0" borderId="0" xfId="570" applyFont="1" applyAlignment="1">
      <alignment horizontal="left" vertical="top" wrapText="1"/>
    </xf>
    <xf numFmtId="0" fontId="12" fillId="0" borderId="0" xfId="570" applyFont="1" applyAlignment="1" applyProtection="1">
      <alignment horizontal="left"/>
    </xf>
    <xf numFmtId="0" fontId="12" fillId="0" borderId="0" xfId="1193" applyFont="1" applyAlignment="1" applyProtection="1">
      <alignment vertical="top" wrapText="1"/>
    </xf>
    <xf numFmtId="0" fontId="30" fillId="0" borderId="0" xfId="570" applyFont="1" applyFill="1" applyAlignment="1">
      <alignment horizontal="left"/>
    </xf>
    <xf numFmtId="0" fontId="12" fillId="0" borderId="0" xfId="570" applyFont="1" applyBorder="1" applyAlignment="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2" fillId="0" borderId="0" xfId="570"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70" applyFont="1" applyFill="1" applyAlignment="1">
      <alignment horizontal="left"/>
    </xf>
    <xf numFmtId="0" fontId="19" fillId="0" borderId="0" xfId="570"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9" fillId="0" borderId="0" xfId="570" applyFont="1" applyAlignment="1">
      <alignment horizontal="left" vertical="top" wrapText="1"/>
    </xf>
    <xf numFmtId="4" fontId="12" fillId="0" borderId="0" xfId="570" applyNumberFormat="1" applyFont="1" applyAlignment="1" applyProtection="1">
      <alignment horizontal="left" vertical="top" wrapText="1"/>
    </xf>
    <xf numFmtId="0" fontId="30" fillId="0" borderId="0" xfId="570" applyFont="1" applyFill="1" applyAlignment="1">
      <alignment horizontal="center"/>
    </xf>
    <xf numFmtId="0" fontId="12" fillId="0" borderId="0" xfId="570" applyFill="1" applyAlignment="1">
      <alignment horizontal="center"/>
    </xf>
    <xf numFmtId="0" fontId="19" fillId="0" borderId="0" xfId="0" applyFont="1" applyAlignment="1">
      <alignment horizontal="left" vertical="top"/>
    </xf>
    <xf numFmtId="0" fontId="30" fillId="0" borderId="0" xfId="570" applyFont="1" applyAlignment="1">
      <alignment horizontal="left" wrapText="1"/>
    </xf>
    <xf numFmtId="0" fontId="19" fillId="0" borderId="0" xfId="570" applyFont="1" applyFill="1" applyAlignment="1" applyProtection="1">
      <alignment horizontal="center"/>
    </xf>
    <xf numFmtId="0" fontId="12" fillId="0" borderId="0" xfId="570" applyFill="1" applyAlignment="1" applyProtection="1"/>
    <xf numFmtId="0" fontId="30" fillId="0" borderId="0" xfId="570" applyFont="1" applyAlignment="1" applyProtection="1">
      <alignment horizontal="left"/>
    </xf>
    <xf numFmtId="0" fontId="19" fillId="0" borderId="0" xfId="0" applyFont="1" applyBorder="1" applyAlignment="1">
      <alignment horizontal="left" vertical="top"/>
    </xf>
    <xf numFmtId="0" fontId="12" fillId="0" borderId="0" xfId="570" applyFont="1" applyFill="1" applyAlignment="1" applyProtection="1"/>
    <xf numFmtId="0" fontId="12" fillId="0" borderId="0" xfId="1193" applyFont="1" applyAlignment="1">
      <alignment horizontal="left"/>
    </xf>
    <xf numFmtId="0" fontId="13" fillId="0" borderId="0" xfId="244" applyNumberFormat="1" applyFill="1" applyAlignment="1" applyProtection="1">
      <alignment horizontal="left"/>
    </xf>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12" fillId="0" borderId="0" xfId="0" quotePrefix="1" applyFont="1" applyAlignment="1">
      <alignment horizontal="left" vertical="top" wrapText="1"/>
    </xf>
    <xf numFmtId="0" fontId="30" fillId="0" borderId="0" xfId="0" applyFont="1" applyFill="1" applyAlignment="1">
      <alignment horizontal="left" vertical="top" wrapText="1"/>
    </xf>
    <xf numFmtId="0" fontId="19" fillId="0" borderId="0" xfId="0" applyFont="1" applyFill="1" applyAlignment="1">
      <alignment horizontal="left" vertical="top" wrapText="1"/>
    </xf>
    <xf numFmtId="0" fontId="12" fillId="0" borderId="0" xfId="0" quotePrefix="1" applyFont="1" applyAlignment="1">
      <alignment horizontal="left" vertical="top"/>
    </xf>
    <xf numFmtId="0" fontId="19" fillId="0" borderId="0" xfId="1193" applyFont="1" applyFill="1" applyAlignment="1">
      <alignment horizontal="left" vertical="top" wrapText="1"/>
    </xf>
    <xf numFmtId="49" fontId="19" fillId="0" borderId="0" xfId="0" applyNumberFormat="1" applyFont="1" applyAlignment="1">
      <alignment horizontal="left"/>
    </xf>
    <xf numFmtId="0" fontId="30" fillId="0" borderId="0" xfId="1193" applyFont="1" applyFill="1" applyAlignment="1">
      <alignment horizontal="left" vertical="top" wrapText="1"/>
    </xf>
    <xf numFmtId="49" fontId="19" fillId="0" borderId="0" xfId="0" applyNumberFormat="1" applyFont="1" applyAlignment="1">
      <alignment horizontal="left" vertical="top"/>
    </xf>
    <xf numFmtId="49" fontId="12" fillId="0" borderId="0" xfId="0" applyNumberFormat="1" applyFont="1" applyAlignment="1">
      <alignment horizontal="left" vertical="top" wrapText="1"/>
    </xf>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 fontId="12" fillId="0" borderId="0" xfId="0" applyNumberFormat="1" applyFont="1" applyAlignment="1" applyProtection="1">
      <alignment horizontal="left"/>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70" applyAlignment="1" applyProtection="1">
      <alignment horizontal="left" wrapText="1"/>
    </xf>
    <xf numFmtId="0" fontId="12" fillId="0" borderId="0" xfId="0" applyFont="1" applyFill="1" applyBorder="1" applyAlignment="1">
      <alignment horizontal="left" vertical="top" wrapText="1"/>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4" xfId="0" applyFill="1" applyBorder="1" applyAlignment="1" applyProtection="1">
      <alignment horizontal="left"/>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19" fillId="0" borderId="11" xfId="0" applyFont="1" applyBorder="1" applyAlignment="1" applyProtection="1">
      <alignment horizontal="center" wrapText="1"/>
    </xf>
    <xf numFmtId="0" fontId="0" fillId="0" borderId="6" xfId="0" applyFill="1" applyBorder="1" applyAlignment="1" applyProtection="1">
      <alignment horizontal="left"/>
    </xf>
    <xf numFmtId="0" fontId="12" fillId="5" borderId="6" xfId="0"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14" fontId="12" fillId="5" borderId="11" xfId="0" applyNumberFormat="1" applyFont="1" applyFill="1" applyBorder="1" applyAlignment="1" applyProtection="1">
      <alignment horizontal="center"/>
      <protection locked="0"/>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0" fontId="21" fillId="46" borderId="11" xfId="0" applyFont="1" applyFill="1" applyBorder="1" applyAlignment="1" applyProtection="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2"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0" xfId="0" applyFont="1" applyAlignment="1" applyProtection="1">
      <alignment horizontal="center"/>
    </xf>
    <xf numFmtId="0" fontId="20" fillId="44" borderId="6" xfId="0" applyFont="1" applyFill="1" applyBorder="1" applyAlignment="1" applyProtection="1">
      <alignment horizontal="left"/>
      <protection locked="0"/>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12"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168" fontId="21"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2" fillId="0" borderId="6" xfId="543" applyFont="1" applyBorder="1" applyAlignment="1" applyProtection="1">
      <alignment horizontal="lef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31" fillId="5" borderId="6" xfId="0" applyFont="1" applyFill="1" applyBorder="1" applyAlignment="1" applyProtection="1">
      <alignment horizontal="left"/>
      <protection locked="0"/>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2" fillId="0" borderId="0" xfId="543" applyNumberFormat="1" applyFont="1" applyFill="1" applyBorder="1" applyAlignment="1" applyProtection="1">
      <alignment horizontal="center" vertical="center"/>
    </xf>
    <xf numFmtId="168" fontId="0" fillId="44" borderId="6" xfId="0" applyNumberFormat="1" applyFill="1" applyBorder="1" applyAlignment="1" applyProtection="1">
      <alignment horizontal="right"/>
      <protection locked="0"/>
    </xf>
    <xf numFmtId="3" fontId="12" fillId="5" borderId="11" xfId="0" quotePrefix="1" applyNumberFormat="1" applyFont="1" applyFill="1" applyBorder="1" applyAlignment="1" applyProtection="1">
      <alignment horizontal="center"/>
      <protection locked="0"/>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2" fillId="0" borderId="4" xfId="0" applyFont="1" applyBorder="1" applyAlignment="1" applyProtection="1">
      <alignment horizontal="center"/>
    </xf>
    <xf numFmtId="0" fontId="12" fillId="0" borderId="11" xfId="0" applyFont="1" applyBorder="1" applyAlignment="1" applyProtection="1">
      <alignment horizontal="center"/>
    </xf>
    <xf numFmtId="0" fontId="12" fillId="0" borderId="11" xfId="543"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0" fillId="44" borderId="4" xfId="0" applyFill="1" applyBorder="1" applyAlignment="1" applyProtection="1">
      <alignment horizontal="center"/>
      <protection locked="0"/>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21" fillId="5" borderId="6" xfId="0"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166" fontId="21" fillId="5" borderId="6"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 fontId="21" fillId="5" borderId="6" xfId="0" applyNumberFormat="1" applyFont="1" applyFill="1" applyBorder="1" applyAlignment="1" applyProtection="1">
      <alignment horizontal="righ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2" fillId="5" borderId="0" xfId="244" applyFont="1" applyFill="1" applyBorder="1" applyAlignment="1" applyProtection="1">
      <alignment horizontal="left"/>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0" fontId="12" fillId="0" borderId="6" xfId="0" applyFont="1" applyFill="1" applyBorder="1" applyAlignment="1" applyProtection="1">
      <alignment horizontal="center"/>
      <protection locked="0"/>
    </xf>
    <xf numFmtId="166" fontId="21"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12" fillId="0" borderId="6" xfId="0" applyFont="1" applyBorder="1" applyAlignment="1" applyProtection="1">
      <alignment horizontal="center"/>
      <protection locked="0"/>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5" borderId="6" xfId="0" applyFill="1" applyBorder="1" applyProtection="1">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1"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14" fontId="21" fillId="5" borderId="4"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2" fontId="0" fillId="0" borderId="6" xfId="0" applyNumberFormat="1" applyFill="1" applyBorder="1" applyAlignment="1" applyProtection="1">
      <alignment horizontal="center"/>
    </xf>
    <xf numFmtId="0" fontId="19"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12" fillId="5" borderId="3" xfId="0" quotePrefix="1"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9" fillId="5" borderId="11" xfId="0" applyFon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2" fillId="0" borderId="0" xfId="543" applyNumberFormat="1" applyFont="1" applyFill="1" applyBorder="1" applyAlignment="1" applyProtection="1">
      <alignment horizontal="center" vertical="center"/>
    </xf>
    <xf numFmtId="0" fontId="31" fillId="5" borderId="3"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9" fillId="0" borderId="6" xfId="0" applyFont="1" applyBorder="1" applyAlignment="1" applyProtection="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0" fontId="21" fillId="0" borderId="11" xfId="0" applyFont="1" applyFill="1" applyBorder="1" applyAlignment="1" applyProtection="1">
      <alignment horizont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12" fillId="0" borderId="0" xfId="543" applyFont="1" applyFill="1" applyAlignment="1" applyProtection="1">
      <alignment horizontal="center"/>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9"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21"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175" fontId="21" fillId="0" borderId="0" xfId="544" applyNumberFormat="1" applyFont="1" applyBorder="1" applyAlignment="1" applyProtection="1">
      <alignment horizontal="center" vertical="center" wrapText="1"/>
    </xf>
    <xf numFmtId="0" fontId="45" fillId="0" borderId="0" xfId="0" applyFont="1" applyBorder="1" applyAlignment="1" applyProtection="1">
      <alignment horizontal="center"/>
    </xf>
    <xf numFmtId="0" fontId="12"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1" fillId="5" borderId="5" xfId="0"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0" fontId="21" fillId="0" borderId="3" xfId="0" applyFont="1" applyBorder="1" applyAlignment="1" applyProtection="1">
      <alignment horizontal="left"/>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2" fillId="0" borderId="1" xfId="0" applyFont="1" applyFill="1" applyBorder="1" applyAlignment="1" applyProtection="1">
      <alignment horizontal="center" vertical="top" wrapText="1"/>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5" borderId="6" xfId="271" applyFont="1" applyFill="1" applyBorder="1" applyAlignment="1" applyProtection="1">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9" fontId="12" fillId="5" borderId="3" xfId="0" applyNumberFormat="1" applyFont="1" applyFill="1" applyBorder="1" applyAlignment="1" applyProtection="1">
      <alignment horizontal="right"/>
      <protection locked="0"/>
    </xf>
    <xf numFmtId="168" fontId="12" fillId="0" borderId="11" xfId="543" applyNumberFormat="1"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19" fillId="0" borderId="1" xfId="0" applyFont="1" applyBorder="1" applyAlignment="1" applyProtection="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8" fillId="3" borderId="0" xfId="0"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8" fontId="0" fillId="0" borderId="11" xfId="0" applyNumberFormat="1" applyFill="1" applyBorder="1" applyAlignment="1" applyProtection="1"/>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19" fillId="0" borderId="8"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75" fontId="49" fillId="5" borderId="3" xfId="0" quotePrefix="1" applyNumberFormat="1" applyFont="1" applyFill="1" applyBorder="1" applyAlignment="1" applyProtection="1">
      <alignment horizontal="center"/>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21" fillId="0" borderId="11" xfId="0" applyFont="1" applyBorder="1" applyAlignment="1" applyProtection="1">
      <alignment horizontal="center"/>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148" fillId="50" borderId="66" xfId="4501" applyFont="1" applyFill="1" applyBorder="1" applyAlignment="1">
      <alignment horizontal="center"/>
    </xf>
    <xf numFmtId="0" fontId="148" fillId="50" borderId="29" xfId="4501" applyFont="1" applyFill="1" applyBorder="1" applyAlignment="1">
      <alignment horizontal="center"/>
    </xf>
    <xf numFmtId="0" fontId="148" fillId="50" borderId="31" xfId="4501" applyFont="1" applyFill="1" applyBorder="1" applyAlignment="1">
      <alignment horizontal="center"/>
    </xf>
    <xf numFmtId="0" fontId="149" fillId="51" borderId="67" xfId="4501" applyFont="1" applyFill="1" applyBorder="1" applyAlignment="1">
      <alignment horizontal="center"/>
    </xf>
    <xf numFmtId="0" fontId="149" fillId="51" borderId="0" xfId="4501" applyFont="1" applyFill="1" applyAlignment="1">
      <alignment horizontal="center"/>
    </xf>
    <xf numFmtId="0" fontId="149" fillId="51" borderId="41" xfId="4501" applyFont="1" applyFill="1" applyBorder="1" applyAlignment="1">
      <alignment horizontal="center"/>
    </xf>
    <xf numFmtId="0" fontId="82" fillId="52" borderId="68" xfId="4501" applyFont="1" applyFill="1" applyBorder="1" applyAlignment="1" applyProtection="1">
      <alignment horizontal="center"/>
    </xf>
    <xf numFmtId="0" fontId="82" fillId="52" borderId="69" xfId="4501" applyFont="1" applyFill="1" applyBorder="1" applyAlignment="1" applyProtection="1">
      <alignment horizontal="center"/>
    </xf>
    <xf numFmtId="0" fontId="82" fillId="52" borderId="70" xfId="4501" applyFont="1" applyFill="1" applyBorder="1" applyAlignment="1" applyProtection="1">
      <alignment horizontal="center"/>
    </xf>
    <xf numFmtId="0" fontId="150" fillId="45" borderId="71" xfId="4501" applyFont="1" applyFill="1" applyBorder="1" applyAlignment="1">
      <alignment horizontal="center"/>
    </xf>
    <xf numFmtId="0" fontId="150" fillId="45" borderId="72" xfId="4501" applyFont="1" applyFill="1" applyBorder="1" applyAlignment="1">
      <alignment horizontal="center"/>
    </xf>
    <xf numFmtId="14" fontId="154" fillId="48" borderId="73" xfId="4501" applyNumberFormat="1" applyFont="1" applyFill="1" applyBorder="1" applyAlignment="1" applyProtection="1">
      <alignment horizontal="center"/>
      <protection locked="0"/>
    </xf>
    <xf numFmtId="0" fontId="154" fillId="48" borderId="69" xfId="4501" applyFont="1" applyFill="1" applyBorder="1" applyAlignment="1" applyProtection="1">
      <alignment horizontal="center"/>
      <protection locked="0"/>
    </xf>
    <xf numFmtId="0" fontId="154" fillId="48" borderId="70" xfId="4501" applyFont="1" applyFill="1" applyBorder="1" applyAlignment="1" applyProtection="1">
      <alignment horizontal="center"/>
      <protection locked="0"/>
    </xf>
    <xf numFmtId="0" fontId="150" fillId="45" borderId="74" xfId="4501" applyFont="1" applyFill="1" applyBorder="1" applyAlignment="1">
      <alignment horizontal="center"/>
    </xf>
    <xf numFmtId="0" fontId="150" fillId="45" borderId="75" xfId="4501" applyFont="1" applyFill="1" applyBorder="1" applyAlignment="1">
      <alignment horizontal="center"/>
    </xf>
    <xf numFmtId="0" fontId="98" fillId="45" borderId="68" xfId="4501" applyFont="1" applyFill="1" applyBorder="1" applyAlignment="1">
      <alignment horizontal="center"/>
    </xf>
    <xf numFmtId="0" fontId="98" fillId="45" borderId="69" xfId="4501" applyFont="1" applyFill="1" applyBorder="1" applyAlignment="1">
      <alignment horizontal="center"/>
    </xf>
    <xf numFmtId="0" fontId="98" fillId="45" borderId="70" xfId="4501" applyFont="1" applyFill="1" applyBorder="1" applyAlignment="1">
      <alignment horizontal="center"/>
    </xf>
    <xf numFmtId="14" fontId="152" fillId="48" borderId="68" xfId="4501" applyNumberFormat="1" applyFont="1" applyFill="1" applyBorder="1" applyAlignment="1" applyProtection="1">
      <alignment horizontal="center" vertical="center"/>
      <protection locked="0"/>
    </xf>
    <xf numFmtId="0" fontId="152" fillId="48" borderId="69" xfId="4501" applyFont="1" applyFill="1" applyBorder="1" applyAlignment="1" applyProtection="1">
      <alignment horizontal="center" vertical="center"/>
      <protection locked="0"/>
    </xf>
    <xf numFmtId="0" fontId="152" fillId="48" borderId="70" xfId="4501" applyFont="1" applyFill="1" applyBorder="1" applyAlignment="1" applyProtection="1">
      <alignment horizontal="center" vertical="center"/>
      <protection locked="0"/>
    </xf>
    <xf numFmtId="1" fontId="5" fillId="52" borderId="68" xfId="4501" applyNumberFormat="1" applyFill="1" applyBorder="1" applyAlignment="1">
      <alignment horizontal="center"/>
    </xf>
    <xf numFmtId="0" fontId="5" fillId="52" borderId="69" xfId="4501" applyFill="1" applyBorder="1" applyAlignment="1">
      <alignment horizontal="center"/>
    </xf>
    <xf numFmtId="0" fontId="5" fillId="52" borderId="70" xfId="4501" applyFill="1" applyBorder="1" applyAlignment="1">
      <alignment horizontal="center"/>
    </xf>
    <xf numFmtId="0" fontId="154" fillId="48" borderId="68" xfId="4501" applyFont="1" applyFill="1" applyBorder="1" applyAlignment="1" applyProtection="1">
      <alignment horizontal="center"/>
      <protection locked="0"/>
    </xf>
    <xf numFmtId="0" fontId="98" fillId="0" borderId="0" xfId="4501" applyFont="1" applyAlignment="1">
      <alignment horizontal="center"/>
    </xf>
    <xf numFmtId="0" fontId="98" fillId="0" borderId="41" xfId="4501" applyFont="1" applyBorder="1" applyAlignment="1">
      <alignment horizontal="center"/>
    </xf>
    <xf numFmtId="0" fontId="5" fillId="52" borderId="72" xfId="4501" applyFill="1" applyBorder="1" applyAlignment="1">
      <alignment horizontal="center"/>
    </xf>
    <xf numFmtId="0" fontId="5" fillId="52" borderId="76" xfId="4501" applyFill="1" applyBorder="1" applyAlignment="1">
      <alignment horizontal="center"/>
    </xf>
    <xf numFmtId="0" fontId="5" fillId="52" borderId="68" xfId="4501" applyFill="1" applyBorder="1" applyAlignment="1" applyProtection="1">
      <alignment horizontal="left"/>
    </xf>
    <xf numFmtId="0" fontId="5" fillId="52" borderId="69" xfId="4501" applyFill="1" applyBorder="1" applyAlignment="1" applyProtection="1">
      <alignment horizontal="left"/>
    </xf>
    <xf numFmtId="0" fontId="5" fillId="52" borderId="70" xfId="4501" applyFill="1" applyBorder="1" applyAlignment="1" applyProtection="1">
      <alignment horizontal="left"/>
    </xf>
    <xf numFmtId="0" fontId="5" fillId="53" borderId="68" xfId="4501" applyFill="1" applyBorder="1" applyAlignment="1">
      <alignment horizontal="center"/>
    </xf>
    <xf numFmtId="0" fontId="5" fillId="53" borderId="69" xfId="4501" applyFill="1" applyBorder="1" applyAlignment="1">
      <alignment horizontal="center"/>
    </xf>
    <xf numFmtId="0" fontId="5"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1" fillId="45" borderId="68" xfId="4501" applyFont="1" applyFill="1" applyBorder="1" applyAlignment="1">
      <alignment horizontal="center" wrapText="1"/>
    </xf>
    <xf numFmtId="0" fontId="151" fillId="45" borderId="69" xfId="4501" applyFont="1" applyFill="1" applyBorder="1" applyAlignment="1">
      <alignment horizontal="center" wrapText="1"/>
    </xf>
    <xf numFmtId="0" fontId="151" fillId="45" borderId="70" xfId="4501" applyFont="1" applyFill="1" applyBorder="1" applyAlignment="1">
      <alignment horizontal="center" wrapText="1"/>
    </xf>
    <xf numFmtId="0" fontId="149" fillId="45" borderId="77" xfId="4501" applyFont="1" applyFill="1" applyBorder="1" applyAlignment="1">
      <alignment horizontal="center"/>
    </xf>
    <xf numFmtId="0" fontId="149" fillId="45" borderId="78" xfId="4501" applyFont="1" applyFill="1" applyBorder="1" applyAlignment="1">
      <alignment horizontal="center"/>
    </xf>
    <xf numFmtId="0" fontId="149" fillId="45" borderId="79" xfId="4501" applyFont="1" applyFill="1" applyBorder="1" applyAlignment="1">
      <alignment horizontal="center"/>
    </xf>
    <xf numFmtId="0" fontId="155" fillId="45" borderId="80" xfId="4501" applyFont="1" applyFill="1" applyBorder="1" applyAlignment="1">
      <alignment horizontal="center"/>
    </xf>
    <xf numFmtId="0" fontId="155" fillId="45" borderId="2" xfId="4501" applyFont="1" applyFill="1" applyBorder="1" applyAlignment="1">
      <alignment horizontal="center"/>
    </xf>
    <xf numFmtId="0" fontId="155" fillId="45" borderId="7" xfId="4501" applyFont="1" applyFill="1" applyBorder="1" applyAlignment="1">
      <alignment horizontal="center"/>
    </xf>
    <xf numFmtId="0" fontId="155" fillId="45" borderId="3" xfId="4501" applyFont="1" applyFill="1" applyBorder="1" applyAlignment="1">
      <alignment horizontal="center"/>
    </xf>
    <xf numFmtId="0" fontId="155" fillId="45" borderId="4" xfId="4501" applyFont="1" applyFill="1" applyBorder="1" applyAlignment="1">
      <alignment horizontal="center"/>
    </xf>
    <xf numFmtId="0" fontId="155" fillId="45" borderId="5" xfId="4501" applyFont="1" applyFill="1" applyBorder="1" applyAlignment="1">
      <alignment horizontal="center"/>
    </xf>
    <xf numFmtId="0" fontId="155" fillId="45" borderId="81" xfId="4501" applyFont="1" applyFill="1" applyBorder="1" applyAlignment="1">
      <alignment horizontal="center"/>
    </xf>
    <xf numFmtId="0" fontId="155" fillId="52" borderId="3" xfId="4501" applyFont="1" applyFill="1" applyBorder="1" applyAlignment="1" applyProtection="1">
      <alignment horizontal="center"/>
    </xf>
    <xf numFmtId="0" fontId="155" fillId="52" borderId="4" xfId="4501" applyFont="1" applyFill="1" applyBorder="1" applyAlignment="1" applyProtection="1">
      <alignment horizontal="center"/>
    </xf>
    <xf numFmtId="0" fontId="155" fillId="52" borderId="5" xfId="4501" applyFont="1" applyFill="1" applyBorder="1" applyAlignment="1" applyProtection="1">
      <alignment horizontal="center"/>
    </xf>
    <xf numFmtId="9" fontId="155" fillId="45" borderId="3" xfId="4501" applyNumberFormat="1" applyFont="1" applyFill="1" applyBorder="1" applyAlignment="1">
      <alignment horizontal="center"/>
    </xf>
    <xf numFmtId="9" fontId="155" fillId="45" borderId="4" xfId="4501" applyNumberFormat="1" applyFont="1" applyFill="1" applyBorder="1" applyAlignment="1">
      <alignment horizontal="center"/>
    </xf>
    <xf numFmtId="9" fontId="155" fillId="45" borderId="81" xfId="4501" applyNumberFormat="1" applyFont="1" applyFill="1" applyBorder="1" applyAlignment="1">
      <alignment horizontal="center"/>
    </xf>
    <xf numFmtId="9" fontId="155" fillId="45" borderId="82" xfId="4501" applyNumberFormat="1" applyFont="1" applyFill="1" applyBorder="1" applyAlignment="1">
      <alignment horizontal="center"/>
    </xf>
    <xf numFmtId="0" fontId="155" fillId="45" borderId="11" xfId="4501" applyFont="1" applyFill="1" applyBorder="1" applyAlignment="1">
      <alignment horizontal="center"/>
    </xf>
    <xf numFmtId="0" fontId="155" fillId="52" borderId="3" xfId="4501" applyFont="1" applyFill="1" applyBorder="1" applyAlignment="1">
      <alignment horizontal="center"/>
    </xf>
    <xf numFmtId="0" fontId="155" fillId="52" borderId="4" xfId="4501" applyFont="1" applyFill="1" applyBorder="1" applyAlignment="1">
      <alignment horizontal="center"/>
    </xf>
    <xf numFmtId="0" fontId="155" fillId="52" borderId="5" xfId="4501" applyFont="1" applyFill="1" applyBorder="1" applyAlignment="1">
      <alignment horizontal="center"/>
    </xf>
    <xf numFmtId="0" fontId="155" fillId="45" borderId="88" xfId="4501" applyFont="1" applyFill="1" applyBorder="1" applyAlignment="1">
      <alignment horizontal="center"/>
    </xf>
    <xf numFmtId="0" fontId="155" fillId="45" borderId="42" xfId="4501" applyFont="1" applyFill="1" applyBorder="1" applyAlignment="1">
      <alignment horizontal="center"/>
    </xf>
    <xf numFmtId="0" fontId="155" fillId="45" borderId="89" xfId="4501" applyFont="1" applyFill="1" applyBorder="1" applyAlignment="1">
      <alignment horizontal="center"/>
    </xf>
    <xf numFmtId="0" fontId="155" fillId="45" borderId="90" xfId="4501" applyFont="1" applyFill="1" applyBorder="1" applyAlignment="1">
      <alignment horizontal="center"/>
    </xf>
    <xf numFmtId="9" fontId="155" fillId="45" borderId="90" xfId="4495" applyFont="1" applyFill="1" applyBorder="1" applyAlignment="1">
      <alignment horizontal="center"/>
    </xf>
    <xf numFmtId="9" fontId="155" fillId="45" borderId="42" xfId="4495" applyFont="1" applyFill="1" applyBorder="1" applyAlignment="1">
      <alignment horizontal="center"/>
    </xf>
    <xf numFmtId="9" fontId="155" fillId="45" borderId="44" xfId="4495" applyFont="1" applyFill="1" applyBorder="1" applyAlignment="1">
      <alignment horizontal="center"/>
    </xf>
    <xf numFmtId="0" fontId="155" fillId="45" borderId="83" xfId="4501" applyFont="1" applyFill="1" applyBorder="1" applyAlignment="1">
      <alignment horizontal="center"/>
    </xf>
    <xf numFmtId="0" fontId="155" fillId="45" borderId="84" xfId="4501" applyFont="1" applyFill="1" applyBorder="1" applyAlignment="1">
      <alignment horizontal="center"/>
    </xf>
    <xf numFmtId="0" fontId="155" fillId="45" borderId="85" xfId="4501" applyFont="1" applyFill="1" applyBorder="1" applyAlignment="1">
      <alignment horizontal="center"/>
    </xf>
    <xf numFmtId="0" fontId="61" fillId="45" borderId="68" xfId="4501" applyFont="1" applyFill="1" applyBorder="1" applyAlignment="1">
      <alignment horizontal="center"/>
    </xf>
    <xf numFmtId="0" fontId="61" fillId="45" borderId="69" xfId="4501" applyFont="1" applyFill="1" applyBorder="1" applyAlignment="1">
      <alignment horizontal="center"/>
    </xf>
    <xf numFmtId="0" fontId="61" fillId="45" borderId="70" xfId="4501" applyFont="1" applyFill="1" applyBorder="1" applyAlignment="1">
      <alignment horizontal="center"/>
    </xf>
    <xf numFmtId="0" fontId="156" fillId="45" borderId="67" xfId="4501" applyFont="1" applyFill="1" applyBorder="1" applyAlignment="1">
      <alignment horizontal="center" vertical="center" wrapText="1"/>
    </xf>
    <xf numFmtId="0" fontId="156" fillId="45" borderId="0" xfId="4501" applyFont="1" applyFill="1" applyBorder="1" applyAlignment="1">
      <alignment horizontal="center" vertical="center"/>
    </xf>
    <xf numFmtId="0" fontId="156" fillId="45" borderId="41" xfId="4501" applyFont="1" applyFill="1" applyBorder="1" applyAlignment="1">
      <alignment horizontal="center" vertical="center"/>
    </xf>
    <xf numFmtId="0" fontId="156" fillId="45" borderId="67" xfId="4501" applyFont="1" applyFill="1" applyBorder="1" applyAlignment="1">
      <alignment horizontal="center" vertical="center"/>
    </xf>
    <xf numFmtId="0" fontId="150" fillId="45" borderId="67" xfId="4501" applyFont="1" applyFill="1" applyBorder="1" applyAlignment="1">
      <alignment horizontal="center" vertical="center" wrapText="1"/>
    </xf>
    <xf numFmtId="0" fontId="150" fillId="45" borderId="0" xfId="4501" applyFont="1" applyFill="1" applyBorder="1" applyAlignment="1">
      <alignment horizontal="center" vertical="center"/>
    </xf>
    <xf numFmtId="0" fontId="150" fillId="45" borderId="41" xfId="4501" applyFont="1" applyFill="1" applyBorder="1" applyAlignment="1">
      <alignment horizontal="center" vertical="center"/>
    </xf>
    <xf numFmtId="0" fontId="150" fillId="45" borderId="67" xfId="4501" applyFont="1" applyFill="1" applyBorder="1" applyAlignment="1">
      <alignment horizontal="center" vertical="center"/>
    </xf>
    <xf numFmtId="0" fontId="50" fillId="45" borderId="68" xfId="4501" applyFont="1" applyFill="1" applyBorder="1" applyAlignment="1">
      <alignment horizontal="center"/>
    </xf>
    <xf numFmtId="0" fontId="50" fillId="45" borderId="69" xfId="4501" applyFont="1" applyFill="1" applyBorder="1" applyAlignment="1">
      <alignment horizontal="center"/>
    </xf>
    <xf numFmtId="0" fontId="50" fillId="45" borderId="70" xfId="4501" applyFont="1" applyFill="1" applyBorder="1" applyAlignment="1">
      <alignment horizontal="center"/>
    </xf>
    <xf numFmtId="0" fontId="50" fillId="45" borderId="66" xfId="4501" applyFont="1" applyFill="1" applyBorder="1" applyAlignment="1">
      <alignment horizontal="center" vertical="center" wrapText="1"/>
    </xf>
    <xf numFmtId="0" fontId="150" fillId="45" borderId="29" xfId="4501" applyFont="1" applyFill="1" applyBorder="1" applyAlignment="1">
      <alignment horizontal="center" vertical="center" wrapText="1"/>
    </xf>
    <xf numFmtId="0" fontId="150" fillId="45" borderId="31" xfId="4501" applyFont="1" applyFill="1" applyBorder="1" applyAlignment="1">
      <alignment horizontal="center" vertical="center" wrapText="1"/>
    </xf>
    <xf numFmtId="0" fontId="150" fillId="45" borderId="88" xfId="4501" applyFont="1" applyFill="1" applyBorder="1" applyAlignment="1">
      <alignment horizontal="center" vertical="center" wrapText="1"/>
    </xf>
    <xf numFmtId="0" fontId="150" fillId="45" borderId="42" xfId="4501" applyFont="1" applyFill="1" applyBorder="1" applyAlignment="1">
      <alignment horizontal="center" vertical="center" wrapText="1"/>
    </xf>
    <xf numFmtId="0" fontId="150" fillId="45" borderId="44" xfId="4501" applyFont="1" applyFill="1" applyBorder="1" applyAlignment="1">
      <alignment horizontal="center" vertical="center" wrapText="1"/>
    </xf>
    <xf numFmtId="9" fontId="5" fillId="48" borderId="68" xfId="4501" applyNumberFormat="1" applyFill="1" applyBorder="1" applyAlignment="1" applyProtection="1">
      <alignment horizontal="center"/>
      <protection locked="0"/>
    </xf>
    <xf numFmtId="9" fontId="5" fillId="48" borderId="69" xfId="4501" applyNumberFormat="1" applyFill="1" applyBorder="1" applyAlignment="1" applyProtection="1">
      <alignment horizontal="center"/>
      <protection locked="0"/>
    </xf>
    <xf numFmtId="9" fontId="5" fillId="48" borderId="70" xfId="4501" applyNumberFormat="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52" fillId="48" borderId="5"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0" fontId="152" fillId="48" borderId="93" xfId="4501" applyFont="1" applyFill="1" applyBorder="1" applyAlignment="1" applyProtection="1">
      <alignment horizontal="center"/>
      <protection locked="0"/>
    </xf>
    <xf numFmtId="0" fontId="152" fillId="48" borderId="82" xfId="4501" applyFont="1" applyFill="1" applyBorder="1" applyAlignment="1" applyProtection="1">
      <alignment horizontal="center"/>
      <protection locked="0"/>
    </xf>
    <xf numFmtId="0" fontId="152" fillId="48" borderId="3" xfId="4501" applyFont="1" applyFill="1" applyBorder="1" applyAlignment="1" applyProtection="1">
      <alignment horizontal="center"/>
      <protection locked="0"/>
    </xf>
    <xf numFmtId="1" fontId="5" fillId="48" borderId="11" xfId="4501" applyNumberFormat="1" applyFill="1" applyBorder="1" applyAlignment="1" applyProtection="1">
      <alignment horizontal="center"/>
      <protection locked="0"/>
    </xf>
    <xf numFmtId="0" fontId="154" fillId="45" borderId="68" xfId="4501" applyFont="1" applyFill="1" applyBorder="1" applyAlignment="1">
      <alignment horizontal="center"/>
    </xf>
    <xf numFmtId="0" fontId="154" fillId="45" borderId="69" xfId="4501" applyFont="1" applyFill="1" applyBorder="1" applyAlignment="1">
      <alignment horizontal="center"/>
    </xf>
    <xf numFmtId="0" fontId="154" fillId="45" borderId="70" xfId="4501" applyFont="1" applyFill="1" applyBorder="1" applyAlignment="1">
      <alignment horizontal="center"/>
    </xf>
    <xf numFmtId="0" fontId="50" fillId="48" borderId="71" xfId="4501" applyFont="1" applyFill="1" applyBorder="1" applyAlignment="1" applyProtection="1">
      <alignment horizontal="right"/>
      <protection locked="0"/>
    </xf>
    <xf numFmtId="0" fontId="50" fillId="48" borderId="72" xfId="4501" applyFont="1" applyFill="1" applyBorder="1" applyAlignment="1" applyProtection="1">
      <alignment horizontal="right"/>
      <protection locked="0"/>
    </xf>
    <xf numFmtId="0" fontId="50" fillId="48" borderId="76" xfId="4501" applyFont="1" applyFill="1" applyBorder="1" applyAlignment="1" applyProtection="1">
      <alignment horizontal="right"/>
      <protection locked="0"/>
    </xf>
    <xf numFmtId="0" fontId="157" fillId="48" borderId="91" xfId="4501" applyFont="1" applyFill="1" applyBorder="1" applyAlignment="1" applyProtection="1">
      <alignment horizontal="center"/>
      <protection locked="0"/>
    </xf>
    <xf numFmtId="0" fontId="157" fillId="48" borderId="72" xfId="4501" applyFont="1" applyFill="1" applyBorder="1" applyAlignment="1" applyProtection="1">
      <alignment horizontal="center"/>
      <protection locked="0"/>
    </xf>
    <xf numFmtId="0" fontId="157" fillId="48" borderId="76" xfId="4501" applyFont="1" applyFill="1" applyBorder="1" applyAlignment="1" applyProtection="1">
      <alignment horizontal="center"/>
      <protection locked="0"/>
    </xf>
    <xf numFmtId="0" fontId="152" fillId="48" borderId="71" xfId="4501" applyFont="1" applyFill="1" applyBorder="1" applyAlignment="1" applyProtection="1">
      <alignment horizontal="center"/>
      <protection locked="0"/>
    </xf>
    <xf numFmtId="0" fontId="152" fillId="48" borderId="72" xfId="4501" applyFont="1" applyFill="1" applyBorder="1" applyAlignment="1" applyProtection="1">
      <alignment horizontal="center"/>
      <protection locked="0"/>
    </xf>
    <xf numFmtId="0" fontId="152" fillId="48" borderId="92" xfId="4501" applyFont="1" applyFill="1" applyBorder="1" applyAlignment="1" applyProtection="1">
      <alignment horizontal="center"/>
      <protection locked="0"/>
    </xf>
    <xf numFmtId="1" fontId="152" fillId="48" borderId="13" xfId="4501" applyNumberFormat="1" applyFont="1" applyFill="1" applyBorder="1" applyAlignment="1" applyProtection="1">
      <alignment horizontal="center"/>
      <protection locked="0"/>
    </xf>
    <xf numFmtId="1" fontId="154" fillId="45" borderId="13" xfId="4501" applyNumberFormat="1" applyFont="1" applyFill="1" applyBorder="1" applyAlignment="1">
      <alignment horizontal="center"/>
    </xf>
    <xf numFmtId="9" fontId="154" fillId="45" borderId="13" xfId="4503" applyFont="1" applyFill="1" applyBorder="1" applyAlignment="1">
      <alignment horizontal="center"/>
    </xf>
    <xf numFmtId="1" fontId="5" fillId="48" borderId="13" xfId="4501" applyNumberFormat="1" applyFill="1" applyBorder="1" applyAlignment="1" applyProtection="1">
      <alignment horizontal="center"/>
      <protection locked="0"/>
    </xf>
    <xf numFmtId="0" fontId="5" fillId="48" borderId="5" xfId="4501" applyFill="1" applyBorder="1" applyAlignment="1" applyProtection="1">
      <alignment horizontal="center"/>
      <protection locked="0"/>
    </xf>
    <xf numFmtId="0" fontId="5" fillId="48" borderId="11" xfId="4501" applyFill="1" applyBorder="1" applyAlignment="1" applyProtection="1">
      <alignment horizontal="center"/>
      <protection locked="0"/>
    </xf>
    <xf numFmtId="0" fontId="5" fillId="48" borderId="93" xfId="4501" applyFill="1" applyBorder="1" applyAlignment="1" applyProtection="1">
      <alignment horizontal="center"/>
      <protection locked="0"/>
    </xf>
    <xf numFmtId="0" fontId="5" fillId="48" borderId="82" xfId="4501" applyFill="1" applyBorder="1" applyAlignment="1" applyProtection="1">
      <alignment horizontal="center"/>
      <protection locked="0"/>
    </xf>
    <xf numFmtId="0" fontId="5" fillId="48" borderId="3" xfId="4501" applyFill="1" applyBorder="1" applyAlignment="1" applyProtection="1">
      <alignment horizontal="center"/>
      <protection locked="0"/>
    </xf>
    <xf numFmtId="0" fontId="158" fillId="48" borderId="82" xfId="4501" applyFont="1" applyFill="1" applyBorder="1" applyAlignment="1" applyProtection="1">
      <alignment horizontal="right"/>
      <protection locked="0"/>
    </xf>
    <xf numFmtId="0" fontId="158" fillId="48" borderId="11" xfId="4501" applyFont="1" applyFill="1" applyBorder="1" applyAlignment="1" applyProtection="1">
      <alignment horizontal="right"/>
      <protection locked="0"/>
    </xf>
    <xf numFmtId="0" fontId="158" fillId="48" borderId="93" xfId="4501" applyFont="1" applyFill="1" applyBorder="1" applyAlignment="1" applyProtection="1">
      <alignment horizontal="right"/>
      <protection locked="0"/>
    </xf>
    <xf numFmtId="0" fontId="150" fillId="48" borderId="94" xfId="4501" applyFont="1" applyFill="1" applyBorder="1" applyAlignment="1" applyProtection="1">
      <alignment horizontal="right"/>
      <protection locked="0"/>
    </xf>
    <xf numFmtId="0" fontId="150" fillId="48" borderId="4" xfId="4501" applyFont="1" applyFill="1" applyBorder="1" applyAlignment="1" applyProtection="1">
      <alignment horizontal="right"/>
      <protection locked="0"/>
    </xf>
    <xf numFmtId="0" fontId="150" fillId="48" borderId="81" xfId="4501" applyFont="1" applyFill="1" applyBorder="1" applyAlignment="1" applyProtection="1">
      <alignment horizontal="right"/>
      <protection locked="0"/>
    </xf>
    <xf numFmtId="0" fontId="150" fillId="48" borderId="82" xfId="4501" applyFont="1" applyFill="1" applyBorder="1" applyAlignment="1" applyProtection="1">
      <alignment horizontal="right"/>
      <protection locked="0"/>
    </xf>
    <xf numFmtId="0" fontId="150" fillId="48" borderId="11" xfId="4501" applyFont="1" applyFill="1" applyBorder="1" applyAlignment="1" applyProtection="1">
      <alignment horizontal="right"/>
      <protection locked="0"/>
    </xf>
    <xf numFmtId="0" fontId="150" fillId="48" borderId="93" xfId="4501" applyFont="1" applyFill="1" applyBorder="1" applyAlignment="1" applyProtection="1">
      <alignment horizontal="right"/>
      <protection locked="0"/>
    </xf>
    <xf numFmtId="0" fontId="150" fillId="48" borderId="74" xfId="4501" applyFont="1" applyFill="1" applyBorder="1" applyAlignment="1" applyProtection="1">
      <alignment horizontal="right"/>
      <protection locked="0"/>
    </xf>
    <xf numFmtId="0" fontId="150" fillId="48" borderId="75" xfId="4501" applyFont="1" applyFill="1" applyBorder="1" applyAlignment="1" applyProtection="1">
      <alignment horizontal="right"/>
      <protection locked="0"/>
    </xf>
    <xf numFmtId="0" fontId="150" fillId="48" borderId="95" xfId="4501" applyFont="1" applyFill="1" applyBorder="1" applyAlignment="1" applyProtection="1">
      <alignment horizontal="right"/>
      <protection locked="0"/>
    </xf>
    <xf numFmtId="0" fontId="5" fillId="48" borderId="85" xfId="4501" applyFill="1" applyBorder="1" applyAlignment="1" applyProtection="1">
      <alignment horizontal="center"/>
      <protection locked="0"/>
    </xf>
    <xf numFmtId="0" fontId="5" fillId="48" borderId="75" xfId="4501" applyFill="1" applyBorder="1" applyAlignment="1" applyProtection="1">
      <alignment horizontal="center"/>
      <protection locked="0"/>
    </xf>
    <xf numFmtId="0" fontId="5" fillId="48" borderId="95" xfId="4501" applyFill="1" applyBorder="1" applyAlignment="1" applyProtection="1">
      <alignment horizontal="center"/>
      <protection locked="0"/>
    </xf>
    <xf numFmtId="0" fontId="5" fillId="48" borderId="74" xfId="4501" applyFill="1" applyBorder="1" applyAlignment="1" applyProtection="1">
      <alignment horizontal="center"/>
      <protection locked="0"/>
    </xf>
    <xf numFmtId="0" fontId="5" fillId="48" borderId="86" xfId="4501" applyFill="1" applyBorder="1" applyAlignment="1" applyProtection="1">
      <alignment horizontal="center"/>
      <protection locked="0"/>
    </xf>
    <xf numFmtId="0" fontId="149" fillId="0" borderId="68" xfId="4501" applyFont="1" applyBorder="1" applyAlignment="1">
      <alignment horizontal="center"/>
    </xf>
    <xf numFmtId="0" fontId="149" fillId="0" borderId="69" xfId="4501" applyFont="1" applyBorder="1" applyAlignment="1">
      <alignment horizontal="center"/>
    </xf>
    <xf numFmtId="0" fontId="149" fillId="0" borderId="70" xfId="4501" applyFont="1" applyBorder="1" applyAlignment="1">
      <alignment horizontal="center"/>
    </xf>
    <xf numFmtId="0" fontId="150" fillId="0" borderId="66" xfId="4501" applyFont="1" applyBorder="1" applyAlignment="1">
      <alignment horizontal="center"/>
    </xf>
    <xf numFmtId="0" fontId="150" fillId="0" borderId="29" xfId="4501" applyFont="1" applyBorder="1" applyAlignment="1">
      <alignment horizontal="center"/>
    </xf>
    <xf numFmtId="0" fontId="150" fillId="0" borderId="31" xfId="4501" applyFont="1" applyBorder="1" applyAlignment="1">
      <alignment horizontal="center"/>
    </xf>
    <xf numFmtId="0" fontId="50" fillId="0" borderId="66" xfId="4501" applyFont="1" applyBorder="1" applyAlignment="1">
      <alignment horizontal="center" vertical="center" wrapText="1"/>
    </xf>
    <xf numFmtId="0" fontId="50" fillId="0" borderId="29" xfId="4501" applyFont="1" applyBorder="1" applyAlignment="1">
      <alignment horizontal="center" vertical="center" wrapText="1"/>
    </xf>
    <xf numFmtId="0" fontId="50" fillId="0" borderId="31" xfId="4501" applyFont="1" applyBorder="1" applyAlignment="1">
      <alignment horizontal="center" vertical="center" wrapText="1"/>
    </xf>
    <xf numFmtId="0" fontId="28" fillId="0" borderId="66" xfId="4501" applyFont="1" applyBorder="1" applyAlignment="1">
      <alignment horizontal="center" vertical="center" wrapText="1"/>
    </xf>
    <xf numFmtId="0" fontId="28" fillId="0" borderId="29" xfId="4501" applyFont="1" applyBorder="1" applyAlignment="1">
      <alignment horizontal="center" vertical="center" wrapText="1"/>
    </xf>
    <xf numFmtId="0" fontId="28" fillId="0" borderId="31" xfId="4501" applyFont="1" applyBorder="1" applyAlignment="1">
      <alignment horizontal="center" vertical="center" wrapText="1"/>
    </xf>
    <xf numFmtId="0" fontId="160" fillId="48" borderId="82" xfId="4501" applyFont="1" applyFill="1" applyBorder="1" applyAlignment="1" applyProtection="1">
      <alignment horizontal="center"/>
      <protection locked="0"/>
    </xf>
    <xf numFmtId="0" fontId="160" fillId="48" borderId="11" xfId="4501" applyFont="1" applyFill="1" applyBorder="1" applyAlignment="1" applyProtection="1">
      <alignment horizontal="center"/>
      <protection locked="0"/>
    </xf>
    <xf numFmtId="44" fontId="160" fillId="48" borderId="11" xfId="4502" applyFont="1" applyFill="1" applyBorder="1" applyAlignment="1" applyProtection="1">
      <alignment horizontal="center"/>
      <protection locked="0"/>
    </xf>
    <xf numFmtId="0" fontId="160" fillId="48" borderId="93" xfId="4501" applyFont="1" applyFill="1" applyBorder="1" applyAlignment="1" applyProtection="1">
      <alignment horizontal="center"/>
      <protection locked="0"/>
    </xf>
    <xf numFmtId="0" fontId="50" fillId="0" borderId="66" xfId="4501" applyFont="1" applyBorder="1" applyAlignment="1">
      <alignment horizontal="center"/>
    </xf>
    <xf numFmtId="0" fontId="50" fillId="0" borderId="29" xfId="4501" applyFont="1" applyBorder="1" applyAlignment="1">
      <alignment horizontal="center"/>
    </xf>
    <xf numFmtId="0" fontId="50" fillId="0" borderId="31" xfId="4501" applyFont="1" applyBorder="1" applyAlignment="1">
      <alignment horizontal="center"/>
    </xf>
    <xf numFmtId="0" fontId="50" fillId="0" borderId="78" xfId="4501" applyFont="1" applyBorder="1" applyAlignment="1">
      <alignment horizontal="center"/>
    </xf>
    <xf numFmtId="0" fontId="50" fillId="0" borderId="79" xfId="4501" applyFont="1" applyBorder="1" applyAlignment="1">
      <alignment horizontal="center"/>
    </xf>
    <xf numFmtId="0" fontId="160" fillId="48" borderId="82" xfId="4501" applyNumberFormat="1" applyFont="1" applyFill="1" applyBorder="1" applyAlignment="1" applyProtection="1">
      <alignment horizontal="center"/>
      <protection locked="0"/>
    </xf>
    <xf numFmtId="0" fontId="160" fillId="48" borderId="11" xfId="4501" applyNumberFormat="1" applyFont="1" applyFill="1" applyBorder="1" applyAlignment="1" applyProtection="1">
      <alignment horizontal="center"/>
      <protection locked="0"/>
    </xf>
    <xf numFmtId="0" fontId="160" fillId="48" borderId="93" xfId="4501" applyNumberFormat="1" applyFont="1" applyFill="1" applyBorder="1" applyAlignment="1" applyProtection="1">
      <alignment horizontal="center"/>
      <protection locked="0"/>
    </xf>
    <xf numFmtId="0" fontId="160" fillId="48" borderId="5" xfId="4501" applyFont="1" applyFill="1" applyBorder="1" applyAlignment="1" applyProtection="1">
      <alignment horizontal="center"/>
      <protection locked="0"/>
    </xf>
    <xf numFmtId="0" fontId="160" fillId="48" borderId="74" xfId="4501" applyFont="1" applyFill="1" applyBorder="1" applyAlignment="1" applyProtection="1">
      <alignment horizontal="center"/>
      <protection locked="0"/>
    </xf>
    <xf numFmtId="0" fontId="160" fillId="48" borderId="75" xfId="4501" applyFont="1" applyFill="1" applyBorder="1" applyAlignment="1" applyProtection="1">
      <alignment horizontal="center"/>
      <protection locked="0"/>
    </xf>
    <xf numFmtId="44" fontId="160" fillId="48" borderId="75" xfId="4502" applyFont="1" applyFill="1" applyBorder="1" applyAlignment="1" applyProtection="1">
      <alignment horizontal="center"/>
      <protection locked="0"/>
    </xf>
    <xf numFmtId="0" fontId="160" fillId="48" borderId="95" xfId="4501" applyFont="1" applyFill="1" applyBorder="1" applyAlignment="1" applyProtection="1">
      <alignment horizontal="center"/>
      <protection locked="0"/>
    </xf>
    <xf numFmtId="0" fontId="150" fillId="0" borderId="96" xfId="4501" applyFont="1" applyBorder="1" applyAlignment="1">
      <alignment horizontal="center"/>
    </xf>
    <xf numFmtId="0" fontId="150" fillId="0" borderId="43" xfId="4501" applyFont="1" applyBorder="1" applyAlignment="1">
      <alignment horizontal="center"/>
    </xf>
    <xf numFmtId="44" fontId="150" fillId="0" borderId="43" xfId="4502" applyFont="1" applyBorder="1" applyAlignment="1">
      <alignment horizontal="center"/>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149" fillId="45" borderId="3"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0" fontId="98" fillId="45" borderId="74" xfId="4501" applyFont="1" applyFill="1" applyBorder="1" applyAlignment="1">
      <alignment horizontal="center"/>
    </xf>
    <xf numFmtId="0" fontId="98" fillId="45" borderId="75" xfId="4501" applyFont="1" applyFill="1" applyBorder="1" applyAlignment="1">
      <alignment horizontal="center"/>
    </xf>
    <xf numFmtId="14" fontId="154" fillId="48" borderId="75" xfId="4501" applyNumberFormat="1" applyFont="1" applyFill="1" applyBorder="1" applyAlignment="1" applyProtection="1">
      <alignment horizontal="center"/>
      <protection locked="0"/>
    </xf>
    <xf numFmtId="0" fontId="154" fillId="48" borderId="75" xfId="4501" applyFont="1" applyFill="1" applyBorder="1" applyAlignment="1" applyProtection="1">
      <alignment horizontal="center"/>
      <protection locked="0"/>
    </xf>
    <xf numFmtId="0" fontId="154" fillId="48" borderId="95" xfId="4501" applyFont="1" applyFill="1" applyBorder="1" applyAlignment="1" applyProtection="1">
      <alignment horizontal="center"/>
      <protection locked="0"/>
    </xf>
    <xf numFmtId="0" fontId="160" fillId="48" borderId="74" xfId="4501" applyNumberFormat="1" applyFont="1" applyFill="1" applyBorder="1" applyAlignment="1" applyProtection="1">
      <alignment horizontal="center"/>
      <protection locked="0"/>
    </xf>
    <xf numFmtId="0" fontId="160" fillId="48" borderId="75" xfId="4501" applyNumberFormat="1" applyFont="1" applyFill="1" applyBorder="1" applyAlignment="1" applyProtection="1">
      <alignment horizontal="center"/>
      <protection locked="0"/>
    </xf>
    <xf numFmtId="0" fontId="160" fillId="48" borderId="95" xfId="4501" applyNumberFormat="1" applyFont="1" applyFill="1" applyBorder="1" applyAlignment="1" applyProtection="1">
      <alignment horizontal="center"/>
      <protection locked="0"/>
    </xf>
    <xf numFmtId="0" fontId="160" fillId="48" borderId="85" xfId="4501" applyFont="1" applyFill="1" applyBorder="1" applyAlignment="1" applyProtection="1">
      <alignment horizontal="center"/>
      <protection locked="0"/>
    </xf>
    <xf numFmtId="0" fontId="99" fillId="48" borderId="82" xfId="4501" applyFont="1" applyFill="1" applyBorder="1" applyAlignment="1" applyProtection="1">
      <alignment horizontal="center"/>
      <protection locked="0"/>
    </xf>
    <xf numFmtId="0" fontId="99" fillId="48" borderId="11" xfId="4501" applyFont="1" applyFill="1" applyBorder="1" applyAlignment="1" applyProtection="1">
      <alignment horizontal="center"/>
      <protection locked="0"/>
    </xf>
    <xf numFmtId="44" fontId="99" fillId="48" borderId="11" xfId="4502" applyFont="1" applyFill="1" applyBorder="1" applyAlignment="1" applyProtection="1">
      <alignment horizontal="center"/>
      <protection locked="0"/>
    </xf>
    <xf numFmtId="44" fontId="99" fillId="48" borderId="93" xfId="4502" applyFont="1" applyFill="1" applyBorder="1" applyAlignment="1" applyProtection="1">
      <alignment horizontal="center"/>
      <protection locked="0"/>
    </xf>
    <xf numFmtId="0" fontId="149" fillId="45" borderId="97" xfId="4501" applyFont="1" applyFill="1" applyBorder="1" applyAlignment="1">
      <alignment horizontal="center"/>
    </xf>
    <xf numFmtId="0" fontId="149" fillId="45" borderId="13" xfId="4501" applyFont="1" applyFill="1" applyBorder="1" applyAlignment="1">
      <alignment horizontal="center"/>
    </xf>
    <xf numFmtId="0" fontId="5" fillId="48" borderId="13" xfId="4501" applyFill="1" applyBorder="1" applyAlignment="1" applyProtection="1">
      <alignment horizontal="center"/>
      <protection locked="0"/>
    </xf>
    <xf numFmtId="0" fontId="5" fillId="48" borderId="98" xfId="450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8" fillId="45" borderId="71" xfId="4501" applyFont="1" applyFill="1" applyBorder="1" applyAlignment="1">
      <alignment horizontal="center"/>
    </xf>
    <xf numFmtId="0" fontId="98" fillId="45" borderId="72" xfId="4501" applyFont="1" applyFill="1" applyBorder="1" applyAlignment="1">
      <alignment horizontal="center"/>
    </xf>
    <xf numFmtId="0" fontId="5" fillId="0" borderId="69" xfId="4501" applyBorder="1" applyAlignment="1"/>
    <xf numFmtId="0" fontId="5" fillId="0" borderId="70" xfId="4501" applyBorder="1" applyAlignment="1"/>
    <xf numFmtId="0" fontId="98" fillId="45" borderId="102" xfId="4501" applyFont="1" applyFill="1" applyBorder="1" applyAlignment="1">
      <alignment horizontal="center"/>
    </xf>
    <xf numFmtId="0" fontId="98" fillId="45" borderId="103" xfId="4501" applyFont="1" applyFill="1" applyBorder="1" applyAlignment="1">
      <alignment horizontal="center"/>
    </xf>
    <xf numFmtId="0" fontId="98" fillId="45" borderId="104" xfId="4501" applyFont="1" applyFill="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149" fillId="45" borderId="76" xfId="4501" applyFont="1" applyFill="1" applyBorder="1" applyAlignment="1">
      <alignment horizontal="center"/>
    </xf>
    <xf numFmtId="44" fontId="99" fillId="48" borderId="99" xfId="4502" applyFont="1" applyFill="1" applyBorder="1" applyAlignment="1" applyProtection="1">
      <alignment horizontal="center"/>
      <protection locked="0"/>
    </xf>
    <xf numFmtId="44" fontId="99" fillId="48" borderId="100" xfId="4502" applyFont="1" applyFill="1" applyBorder="1" applyAlignment="1" applyProtection="1">
      <alignment horizontal="center"/>
      <protection locked="0"/>
    </xf>
    <xf numFmtId="0" fontId="149" fillId="45" borderId="96" xfId="4501" applyFont="1" applyFill="1" applyBorder="1" applyAlignment="1">
      <alignment horizontal="right"/>
    </xf>
    <xf numFmtId="0" fontId="149" fillId="45" borderId="43" xfId="4501" applyFont="1" applyFill="1" applyBorder="1" applyAlignment="1">
      <alignment horizontal="right"/>
    </xf>
    <xf numFmtId="44" fontId="149" fillId="45" borderId="43" xfId="4501" applyNumberFormat="1" applyFont="1" applyFill="1" applyBorder="1" applyAlignment="1">
      <alignment horizontal="center"/>
    </xf>
    <xf numFmtId="0" fontId="149" fillId="45" borderId="43" xfId="4501" applyFont="1" applyFill="1" applyBorder="1" applyAlignment="1">
      <alignment horizontal="center"/>
    </xf>
    <xf numFmtId="0" fontId="149" fillId="45" borderId="101" xfId="4501" applyFont="1" applyFill="1" applyBorder="1" applyAlignment="1">
      <alignment horizontal="center"/>
    </xf>
    <xf numFmtId="0" fontId="98" fillId="45" borderId="66" xfId="4501" applyFont="1" applyFill="1" applyBorder="1" applyAlignment="1">
      <alignment horizontal="center"/>
    </xf>
    <xf numFmtId="0" fontId="98" fillId="45" borderId="29" xfId="4501" applyFont="1" applyFill="1" applyBorder="1" applyAlignment="1">
      <alignment horizontal="center"/>
    </xf>
    <xf numFmtId="0" fontId="98" fillId="45" borderId="31" xfId="4501" applyFont="1" applyFill="1" applyBorder="1" applyAlignment="1">
      <alignment horizontal="center"/>
    </xf>
    <xf numFmtId="0" fontId="149" fillId="0" borderId="68" xfId="4501" applyFont="1" applyFill="1" applyBorder="1" applyAlignment="1">
      <alignment horizontal="center"/>
    </xf>
    <xf numFmtId="0" fontId="149" fillId="0" borderId="69" xfId="4501" applyFont="1" applyFill="1" applyBorder="1" applyAlignment="1">
      <alignment horizontal="center"/>
    </xf>
    <xf numFmtId="0" fontId="149" fillId="0" borderId="70" xfId="4501" applyFont="1" applyFill="1" applyBorder="1" applyAlignment="1">
      <alignment horizontal="center"/>
    </xf>
    <xf numFmtId="0" fontId="98" fillId="48" borderId="10" xfId="4501" applyFont="1" applyFill="1" applyBorder="1" applyAlignment="1" applyProtection="1">
      <alignment horizontal="center"/>
      <protection locked="0"/>
    </xf>
    <xf numFmtId="0" fontId="98" fillId="48" borderId="13" xfId="4501" applyFont="1" applyFill="1" applyBorder="1" applyAlignment="1" applyProtection="1">
      <alignment horizontal="center"/>
      <protection locked="0"/>
    </xf>
    <xf numFmtId="0" fontId="98" fillId="48" borderId="98" xfId="4501" applyFont="1" applyFill="1" applyBorder="1" applyAlignment="1" applyProtection="1">
      <alignment horizontal="center"/>
      <protection locked="0"/>
    </xf>
    <xf numFmtId="0" fontId="98" fillId="48" borderId="85" xfId="4501" applyFont="1" applyFill="1" applyBorder="1" applyAlignment="1" applyProtection="1">
      <alignment horizontal="center"/>
      <protection locked="0"/>
    </xf>
    <xf numFmtId="0" fontId="98" fillId="48" borderId="75" xfId="4501" applyFont="1" applyFill="1" applyBorder="1" applyAlignment="1" applyProtection="1">
      <alignment horizontal="center"/>
      <protection locked="0"/>
    </xf>
    <xf numFmtId="0" fontId="98" fillId="48" borderId="95" xfId="4501" applyFont="1" applyFill="1" applyBorder="1" applyAlignment="1" applyProtection="1">
      <alignment horizontal="center"/>
      <protection locked="0"/>
    </xf>
    <xf numFmtId="0" fontId="98" fillId="48" borderId="9" xfId="4501" applyFont="1" applyFill="1" applyBorder="1" applyAlignment="1" applyProtection="1">
      <alignment horizontal="center"/>
      <protection locked="0"/>
    </xf>
    <xf numFmtId="0" fontId="98" fillId="48" borderId="86" xfId="4501" applyFont="1" applyFill="1" applyBorder="1" applyAlignment="1" applyProtection="1">
      <alignment horizontal="center"/>
      <protection locked="0"/>
    </xf>
    <xf numFmtId="0" fontId="98" fillId="48" borderId="3" xfId="4501" applyFont="1" applyFill="1" applyBorder="1" applyAlignment="1" applyProtection="1">
      <alignment horizontal="center"/>
      <protection locked="0"/>
    </xf>
    <xf numFmtId="0" fontId="98" fillId="48" borderId="4" xfId="4501" applyFont="1" applyFill="1" applyBorder="1" applyAlignment="1" applyProtection="1">
      <alignment horizontal="center"/>
      <protection locked="0"/>
    </xf>
    <xf numFmtId="0" fontId="98" fillId="48" borderId="5"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29" xfId="4501" applyFont="1" applyFill="1" applyBorder="1" applyAlignment="1">
      <alignment horizontal="center"/>
    </xf>
    <xf numFmtId="0" fontId="154" fillId="48" borderId="29" xfId="4501" applyFont="1" applyFill="1" applyBorder="1" applyAlignment="1" applyProtection="1">
      <alignment horizontal="center"/>
      <protection locked="0"/>
    </xf>
    <xf numFmtId="0" fontId="154" fillId="48" borderId="31" xfId="4501" applyFont="1" applyFill="1" applyBorder="1" applyAlignment="1" applyProtection="1">
      <alignment horizontal="center"/>
      <protection locked="0"/>
    </xf>
    <xf numFmtId="0" fontId="162" fillId="45" borderId="68" xfId="4501" applyFont="1" applyFill="1" applyBorder="1" applyAlignment="1">
      <alignment horizontal="center"/>
    </xf>
    <xf numFmtId="0" fontId="162" fillId="45" borderId="69" xfId="4501" applyFont="1" applyFill="1" applyBorder="1" applyAlignment="1">
      <alignment horizontal="center"/>
    </xf>
    <xf numFmtId="0" fontId="162" fillId="45" borderId="70" xfId="4501" applyFont="1" applyFill="1" applyBorder="1" applyAlignment="1">
      <alignment horizontal="center"/>
    </xf>
    <xf numFmtId="0" fontId="152" fillId="48" borderId="68" xfId="4501" applyFont="1" applyFill="1" applyBorder="1" applyAlignment="1" applyProtection="1">
      <alignment horizontal="left"/>
      <protection locked="0"/>
    </xf>
    <xf numFmtId="0" fontId="152" fillId="48" borderId="69" xfId="4501" applyFont="1" applyFill="1" applyBorder="1" applyAlignment="1" applyProtection="1">
      <alignment horizontal="left"/>
      <protection locked="0"/>
    </xf>
    <xf numFmtId="0" fontId="152" fillId="48" borderId="70" xfId="4501" applyFont="1" applyFill="1" applyBorder="1" applyAlignment="1" applyProtection="1">
      <alignment horizontal="left"/>
      <protection locked="0"/>
    </xf>
    <xf numFmtId="0" fontId="149" fillId="45" borderId="91" xfId="4501" applyFont="1" applyFill="1" applyBorder="1" applyAlignment="1">
      <alignment horizontal="center"/>
    </xf>
    <xf numFmtId="0" fontId="98" fillId="45" borderId="94" xfId="4501" applyFont="1" applyFill="1" applyBorder="1" applyAlignment="1">
      <alignment horizontal="center"/>
    </xf>
    <xf numFmtId="0" fontId="98" fillId="45" borderId="4" xfId="4501" applyFont="1" applyFill="1" applyBorder="1" applyAlignment="1">
      <alignment horizontal="center"/>
    </xf>
    <xf numFmtId="0" fontId="98" fillId="45" borderId="5" xfId="4501" applyFont="1" applyFill="1" applyBorder="1" applyAlignment="1">
      <alignment horizontal="center"/>
    </xf>
    <xf numFmtId="0" fontId="149" fillId="45" borderId="5" xfId="4501" applyFont="1" applyFill="1" applyBorder="1" applyAlignment="1">
      <alignment horizontal="center"/>
    </xf>
    <xf numFmtId="0" fontId="98" fillId="45" borderId="82" xfId="4501" applyFont="1" applyFill="1" applyBorder="1" applyAlignment="1">
      <alignment horizontal="center"/>
    </xf>
    <xf numFmtId="0" fontId="98" fillId="45" borderId="11" xfId="4501" applyFont="1" applyFill="1" applyBorder="1" applyAlignment="1">
      <alignment horizontal="center"/>
    </xf>
    <xf numFmtId="0" fontId="149" fillId="0" borderId="77" xfId="4501" applyFont="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98" fillId="0" borderId="94" xfId="4501" applyFont="1" applyBorder="1" applyAlignment="1">
      <alignment horizontal="center"/>
    </xf>
    <xf numFmtId="0" fontId="98" fillId="0" borderId="4" xfId="4501" applyFont="1" applyBorder="1" applyAlignment="1">
      <alignment horizontal="center"/>
    </xf>
    <xf numFmtId="0" fontId="98" fillId="0" borderId="5" xfId="4501" applyFont="1" applyBorder="1" applyAlignment="1">
      <alignment horizontal="center"/>
    </xf>
    <xf numFmtId="0" fontId="98" fillId="0" borderId="3" xfId="4501" applyFont="1" applyBorder="1" applyAlignment="1">
      <alignment horizontal="center"/>
    </xf>
    <xf numFmtId="0" fontId="158" fillId="0" borderId="3" xfId="4501" applyFont="1" applyBorder="1" applyAlignment="1">
      <alignment horizontal="center"/>
    </xf>
    <xf numFmtId="0" fontId="158" fillId="0" borderId="4" xfId="4501" applyFont="1" applyBorder="1" applyAlignment="1">
      <alignment horizontal="center"/>
    </xf>
    <xf numFmtId="0" fontId="158" fillId="0" borderId="5" xfId="4501" applyFont="1" applyBorder="1" applyAlignment="1">
      <alignment horizontal="center"/>
    </xf>
    <xf numFmtId="0" fontId="98" fillId="0" borderId="86" xfId="4501" applyFont="1" applyBorder="1" applyAlignment="1">
      <alignment horizontal="center"/>
    </xf>
    <xf numFmtId="0" fontId="98" fillId="0" borderId="84" xfId="4501" applyFont="1" applyBorder="1" applyAlignment="1">
      <alignment horizontal="center"/>
    </xf>
    <xf numFmtId="0" fontId="98" fillId="0" borderId="87" xfId="4501" applyFont="1" applyBorder="1" applyAlignment="1">
      <alignment horizontal="center"/>
    </xf>
    <xf numFmtId="0" fontId="152" fillId="48" borderId="66" xfId="4501" applyFont="1" applyFill="1" applyBorder="1" applyAlignment="1" applyProtection="1">
      <alignment vertical="top" wrapText="1"/>
      <protection locked="0"/>
    </xf>
    <xf numFmtId="0" fontId="152" fillId="0" borderId="29" xfId="4501" applyFont="1" applyBorder="1" applyAlignment="1" applyProtection="1">
      <alignment vertical="top" wrapText="1"/>
      <protection locked="0"/>
    </xf>
    <xf numFmtId="0" fontId="152" fillId="0" borderId="31" xfId="4501" applyFont="1" applyBorder="1" applyAlignment="1" applyProtection="1">
      <alignment vertical="top" wrapText="1"/>
      <protection locked="0"/>
    </xf>
    <xf numFmtId="0" fontId="152" fillId="0" borderId="67" xfId="4501" applyFont="1" applyBorder="1" applyAlignment="1" applyProtection="1">
      <alignment vertical="top" wrapText="1"/>
      <protection locked="0"/>
    </xf>
    <xf numFmtId="0" fontId="152" fillId="0" borderId="0" xfId="4501" applyFont="1" applyAlignment="1" applyProtection="1">
      <alignment vertical="top" wrapText="1"/>
      <protection locked="0"/>
    </xf>
    <xf numFmtId="0" fontId="152" fillId="0" borderId="41" xfId="4501" applyFont="1" applyBorder="1" applyAlignment="1" applyProtection="1">
      <alignment vertical="top" wrapText="1"/>
      <protection locked="0"/>
    </xf>
    <xf numFmtId="0" fontId="152" fillId="0" borderId="88" xfId="4501" applyFont="1" applyBorder="1" applyAlignment="1" applyProtection="1">
      <alignment vertical="top" wrapText="1"/>
      <protection locked="0"/>
    </xf>
    <xf numFmtId="0" fontId="152" fillId="0" borderId="42" xfId="4501" applyFont="1" applyBorder="1" applyAlignment="1" applyProtection="1">
      <alignment vertical="top" wrapText="1"/>
      <protection locked="0"/>
    </xf>
    <xf numFmtId="0" fontId="152" fillId="0" borderId="44" xfId="4501" applyFont="1" applyBorder="1" applyAlignment="1" applyProtection="1">
      <alignment vertical="top" wrapText="1"/>
      <protection locked="0"/>
    </xf>
    <xf numFmtId="0" fontId="150" fillId="45" borderId="94" xfId="4501" applyFont="1" applyFill="1" applyBorder="1" applyAlignment="1">
      <alignment horizontal="center"/>
    </xf>
    <xf numFmtId="0" fontId="150" fillId="45" borderId="4" xfId="4501" applyFont="1" applyFill="1" applyBorder="1" applyAlignment="1">
      <alignment horizontal="center"/>
    </xf>
    <xf numFmtId="0" fontId="150" fillId="45" borderId="5" xfId="4501" applyFont="1" applyFill="1" applyBorder="1" applyAlignment="1">
      <alignment horizontal="center"/>
    </xf>
    <xf numFmtId="0" fontId="154" fillId="48" borderId="3" xfId="4501" applyFont="1" applyFill="1" applyBorder="1" applyAlignment="1" applyProtection="1">
      <alignment horizontal="center"/>
      <protection locked="0"/>
    </xf>
    <xf numFmtId="0" fontId="154" fillId="48" borderId="4" xfId="4501" applyFont="1" applyFill="1" applyBorder="1" applyAlignment="1" applyProtection="1">
      <alignment horizontal="center"/>
      <protection locked="0"/>
    </xf>
    <xf numFmtId="0" fontId="154" fillId="48" borderId="5" xfId="4501" applyFont="1" applyFill="1" applyBorder="1" applyAlignment="1" applyProtection="1">
      <alignment horizontal="center"/>
      <protection locked="0"/>
    </xf>
    <xf numFmtId="14" fontId="154" fillId="48" borderId="3" xfId="4501" applyNumberFormat="1" applyFont="1" applyFill="1" applyBorder="1" applyAlignment="1" applyProtection="1">
      <alignment horizontal="center"/>
      <protection locked="0"/>
    </xf>
    <xf numFmtId="14" fontId="154" fillId="48" borderId="4" xfId="4501" applyNumberFormat="1" applyFont="1" applyFill="1" applyBorder="1" applyAlignment="1" applyProtection="1">
      <alignment horizontal="center"/>
      <protection locked="0"/>
    </xf>
    <xf numFmtId="0" fontId="5" fillId="50" borderId="3" xfId="4501" applyFill="1" applyBorder="1" applyAlignment="1">
      <alignment horizontal="center"/>
    </xf>
    <xf numFmtId="0" fontId="5" fillId="50" borderId="4" xfId="4501" applyFill="1" applyBorder="1" applyAlignment="1">
      <alignment horizontal="center"/>
    </xf>
    <xf numFmtId="0" fontId="5" fillId="50" borderId="5" xfId="4501" applyFill="1" applyBorder="1" applyAlignment="1">
      <alignment horizontal="center"/>
    </xf>
    <xf numFmtId="14" fontId="5" fillId="48" borderId="3" xfId="4501" applyNumberFormat="1" applyFill="1" applyBorder="1" applyAlignment="1" applyProtection="1">
      <alignment horizontal="center"/>
      <protection locked="0"/>
    </xf>
    <xf numFmtId="14" fontId="5" fillId="48" borderId="4" xfId="4501" applyNumberFormat="1" applyFill="1" applyBorder="1" applyAlignment="1" applyProtection="1">
      <alignment horizontal="center"/>
      <protection locked="0"/>
    </xf>
    <xf numFmtId="14" fontId="5" fillId="52" borderId="3" xfId="4501" applyNumberFormat="1" applyFill="1" applyBorder="1" applyAlignment="1">
      <alignment horizontal="center"/>
    </xf>
    <xf numFmtId="14" fontId="5" fillId="52" borderId="4" xfId="4501" applyNumberFormat="1" applyFill="1" applyBorder="1" applyAlignment="1">
      <alignment horizontal="center"/>
    </xf>
    <xf numFmtId="0" fontId="5" fillId="52" borderId="3" xfId="4501" applyFill="1" applyBorder="1" applyAlignment="1">
      <alignment horizontal="center"/>
    </xf>
    <xf numFmtId="0" fontId="5" fillId="52" borderId="4" xfId="4501" applyFill="1" applyBorder="1" applyAlignment="1">
      <alignment horizontal="center"/>
    </xf>
    <xf numFmtId="0" fontId="5" fillId="52" borderId="5" xfId="4501" applyFill="1" applyBorder="1" applyAlignment="1">
      <alignment horizontal="center"/>
    </xf>
    <xf numFmtId="14" fontId="5"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50" fillId="48" borderId="11" xfId="4501" applyFont="1" applyFill="1" applyBorder="1" applyAlignment="1" applyProtection="1">
      <alignment horizontal="center"/>
      <protection locked="0"/>
    </xf>
    <xf numFmtId="0" fontId="154" fillId="48" borderId="11" xfId="4501" applyFont="1" applyFill="1" applyBorder="1" applyAlignment="1" applyProtection="1">
      <alignment horizontal="center"/>
      <protection locked="0"/>
    </xf>
    <xf numFmtId="14" fontId="154" fillId="48" borderId="11" xfId="4501" applyNumberFormat="1" applyFont="1" applyFill="1" applyBorder="1" applyAlignment="1" applyProtection="1">
      <alignment horizontal="center"/>
      <protection locked="0"/>
    </xf>
    <xf numFmtId="44" fontId="154" fillId="48" borderId="3" xfId="4502" applyFont="1" applyFill="1" applyBorder="1" applyAlignment="1" applyProtection="1">
      <alignment horizontal="center"/>
      <protection locked="0"/>
    </xf>
    <xf numFmtId="44" fontId="154" fillId="48" borderId="4" xfId="4502" applyFont="1" applyFill="1" applyBorder="1" applyAlignment="1" applyProtection="1">
      <alignment horizontal="center"/>
      <protection locked="0"/>
    </xf>
    <xf numFmtId="44" fontId="154" fillId="48" borderId="81" xfId="4502" applyFont="1" applyFill="1" applyBorder="1" applyAlignment="1" applyProtection="1">
      <alignment horizontal="center"/>
      <protection locked="0"/>
    </xf>
    <xf numFmtId="0" fontId="50" fillId="48" borderId="75" xfId="4501" applyFont="1" applyFill="1" applyBorder="1" applyAlignment="1" applyProtection="1">
      <alignment horizontal="center"/>
      <protection locked="0"/>
    </xf>
    <xf numFmtId="44" fontId="154" fillId="48" borderId="86" xfId="4502" applyFont="1" applyFill="1" applyBorder="1" applyAlignment="1" applyProtection="1">
      <alignment horizontal="center"/>
      <protection locked="0"/>
    </xf>
    <xf numFmtId="44" fontId="154" fillId="48" borderId="84" xfId="4502" applyFont="1" applyFill="1" applyBorder="1" applyAlignment="1" applyProtection="1">
      <alignment horizontal="center"/>
      <protection locked="0"/>
    </xf>
    <xf numFmtId="44" fontId="154" fillId="48" borderId="87" xfId="4502" applyFont="1" applyFill="1" applyBorder="1" applyAlignment="1" applyProtection="1">
      <alignment horizontal="center"/>
      <protection locked="0"/>
    </xf>
    <xf numFmtId="14" fontId="5" fillId="48" borderId="11" xfId="4501" applyNumberFormat="1" applyFill="1" applyBorder="1" applyAlignment="1" applyProtection="1">
      <alignment horizontal="center"/>
      <protection locked="0"/>
    </xf>
    <xf numFmtId="0" fontId="149" fillId="45" borderId="71" xfId="4501" applyFont="1" applyFill="1" applyBorder="1" applyAlignment="1">
      <alignment horizontal="left"/>
    </xf>
    <xf numFmtId="0" fontId="149" fillId="45" borderId="72" xfId="4501" applyFont="1" applyFill="1" applyBorder="1" applyAlignment="1">
      <alignment horizontal="left"/>
    </xf>
    <xf numFmtId="0" fontId="149" fillId="45" borderId="76" xfId="4501" applyFont="1" applyFill="1" applyBorder="1" applyAlignment="1">
      <alignment horizontal="left"/>
    </xf>
    <xf numFmtId="0" fontId="5" fillId="48" borderId="82" xfId="4501" applyFill="1" applyBorder="1" applyAlignment="1" applyProtection="1">
      <alignment horizontal="left" vertical="top"/>
      <protection locked="0"/>
    </xf>
    <xf numFmtId="0" fontId="5" fillId="48" borderId="11" xfId="4501" applyFill="1" applyBorder="1" applyAlignment="1" applyProtection="1">
      <alignment horizontal="left" vertical="top"/>
      <protection locked="0"/>
    </xf>
    <xf numFmtId="0" fontId="5" fillId="48" borderId="93" xfId="4501" applyFill="1" applyBorder="1" applyAlignment="1" applyProtection="1">
      <alignment horizontal="left" vertical="top"/>
      <protection locked="0"/>
    </xf>
    <xf numFmtId="0" fontId="5" fillId="48" borderId="74" xfId="4501" applyFill="1" applyBorder="1" applyAlignment="1" applyProtection="1">
      <alignment horizontal="left" vertical="top"/>
      <protection locked="0"/>
    </xf>
    <xf numFmtId="0" fontId="5" fillId="48" borderId="75" xfId="4501" applyFill="1" applyBorder="1" applyAlignment="1" applyProtection="1">
      <alignment horizontal="left" vertical="top"/>
      <protection locked="0"/>
    </xf>
    <xf numFmtId="0" fontId="5" fillId="48" borderId="95" xfId="4501" applyFill="1" applyBorder="1" applyAlignment="1" applyProtection="1">
      <alignment horizontal="left" vertical="top"/>
      <protection locked="0"/>
    </xf>
    <xf numFmtId="164" fontId="49" fillId="48" borderId="11" xfId="4502" applyNumberFormat="1" applyFont="1" applyFill="1" applyBorder="1" applyAlignment="1" applyProtection="1">
      <alignment horizontal="center"/>
      <protection locked="0"/>
    </xf>
    <xf numFmtId="44" fontId="49" fillId="48" borderId="11" xfId="4502" applyFont="1" applyFill="1" applyBorder="1" applyAlignment="1" applyProtection="1">
      <alignment horizontal="center"/>
      <protection locked="0"/>
    </xf>
    <xf numFmtId="0" fontId="98" fillId="0" borderId="81" xfId="4501" applyFont="1" applyBorder="1" applyAlignment="1">
      <alignment horizontal="center"/>
    </xf>
    <xf numFmtId="164" fontId="164" fillId="52" borderId="4" xfId="4501" applyNumberFormat="1" applyFont="1" applyFill="1" applyBorder="1" applyAlignment="1">
      <alignment horizontal="center"/>
    </xf>
    <xf numFmtId="164" fontId="164" fillId="52" borderId="81" xfId="4501" applyNumberFormat="1" applyFont="1" applyFill="1" applyBorder="1" applyAlignment="1">
      <alignment horizontal="center"/>
    </xf>
    <xf numFmtId="0" fontId="150" fillId="50" borderId="94" xfId="4501" applyFont="1" applyFill="1" applyBorder="1" applyAlignment="1">
      <alignment horizontal="center"/>
    </xf>
    <xf numFmtId="0" fontId="150" fillId="50" borderId="4" xfId="4501" applyFont="1" applyFill="1" applyBorder="1" applyAlignment="1">
      <alignment horizontal="center"/>
    </xf>
    <xf numFmtId="0" fontId="150" fillId="50" borderId="81" xfId="4501" applyFont="1" applyFill="1" applyBorder="1" applyAlignment="1">
      <alignment horizontal="center"/>
    </xf>
    <xf numFmtId="0" fontId="150" fillId="45" borderId="82" xfId="4501" applyFont="1" applyFill="1" applyBorder="1" applyAlignment="1">
      <alignment horizontal="center"/>
    </xf>
    <xf numFmtId="0" fontId="150" fillId="45" borderId="11" xfId="4501" applyFont="1" applyFill="1" applyBorder="1" applyAlignment="1">
      <alignment horizontal="center"/>
    </xf>
    <xf numFmtId="0" fontId="5" fillId="0" borderId="77" xfId="4501" applyBorder="1" applyAlignment="1">
      <alignment horizontal="center"/>
    </xf>
    <xf numFmtId="0" fontId="5" fillId="0" borderId="78" xfId="4501" applyBorder="1" applyAlignment="1">
      <alignment horizontal="center"/>
    </xf>
    <xf numFmtId="0" fontId="5" fillId="0" borderId="79" xfId="4501" applyBorder="1" applyAlignment="1">
      <alignment horizontal="center"/>
    </xf>
    <xf numFmtId="0" fontId="150" fillId="0" borderId="78" xfId="4501" applyFont="1" applyBorder="1" applyAlignment="1">
      <alignment horizontal="center"/>
    </xf>
    <xf numFmtId="0" fontId="150" fillId="0" borderId="79" xfId="4501" applyFont="1" applyBorder="1" applyAlignment="1">
      <alignment horizontal="center"/>
    </xf>
    <xf numFmtId="0" fontId="50" fillId="0" borderId="77" xfId="4501" applyFont="1" applyBorder="1" applyAlignment="1">
      <alignment horizontal="center"/>
    </xf>
    <xf numFmtId="0" fontId="150" fillId="45" borderId="81" xfId="4501" applyFont="1" applyFill="1" applyBorder="1" applyAlignment="1">
      <alignment horizontal="center"/>
    </xf>
    <xf numFmtId="164" fontId="5" fillId="52" borderId="4" xfId="4501" applyNumberFormat="1" applyFill="1" applyBorder="1" applyAlignment="1">
      <alignment horizontal="center"/>
    </xf>
    <xf numFmtId="164" fontId="5" fillId="52" borderId="81" xfId="4501" applyNumberFormat="1" applyFill="1" applyBorder="1" applyAlignment="1">
      <alignment horizontal="center"/>
    </xf>
    <xf numFmtId="0" fontId="5" fillId="48" borderId="94" xfId="4501" applyFill="1" applyBorder="1" applyAlignment="1" applyProtection="1">
      <alignment horizontal="center"/>
      <protection locked="0"/>
    </xf>
    <xf numFmtId="0" fontId="5" fillId="48" borderId="4" xfId="4501" applyFill="1" applyBorder="1" applyAlignment="1" applyProtection="1">
      <alignment horizontal="center"/>
      <protection locked="0"/>
    </xf>
    <xf numFmtId="0" fontId="5" fillId="48" borderId="81" xfId="4501" applyFill="1" applyBorder="1" applyAlignment="1" applyProtection="1">
      <alignment horizontal="center"/>
      <protection locked="0"/>
    </xf>
    <xf numFmtId="0" fontId="149" fillId="45" borderId="83" xfId="4501" applyFont="1" applyFill="1" applyBorder="1" applyAlignment="1">
      <alignment horizontal="center"/>
    </xf>
    <xf numFmtId="0" fontId="149" fillId="45" borderId="84" xfId="4501" applyFont="1" applyFill="1" applyBorder="1" applyAlignment="1">
      <alignment horizontal="center"/>
    </xf>
    <xf numFmtId="164" fontId="170" fillId="53" borderId="11" xfId="4502" applyNumberFormat="1" applyFont="1" applyFill="1" applyBorder="1" applyAlignment="1">
      <alignment horizontal="center"/>
    </xf>
    <xf numFmtId="44" fontId="170" fillId="53" borderId="11" xfId="4502" applyFont="1" applyFill="1" applyBorder="1" applyAlignment="1">
      <alignment horizontal="center"/>
    </xf>
    <xf numFmtId="0" fontId="149" fillId="45" borderId="94" xfId="4501" applyFont="1" applyFill="1" applyBorder="1" applyAlignment="1">
      <alignment horizontal="center"/>
    </xf>
    <xf numFmtId="164" fontId="164" fillId="48" borderId="4" xfId="4501" applyNumberFormat="1" applyFont="1" applyFill="1" applyBorder="1" applyAlignment="1" applyProtection="1">
      <alignment horizontal="center"/>
      <protection locked="0"/>
    </xf>
    <xf numFmtId="164" fontId="164" fillId="48" borderId="81" xfId="4501" applyNumberFormat="1" applyFont="1" applyFill="1" applyBorder="1" applyAlignment="1" applyProtection="1">
      <alignment horizontal="center"/>
      <protection locked="0"/>
    </xf>
    <xf numFmtId="0" fontId="150" fillId="50" borderId="5" xfId="4501" applyFont="1" applyFill="1" applyBorder="1" applyAlignment="1">
      <alignment horizontal="center"/>
    </xf>
    <xf numFmtId="44" fontId="154" fillId="50" borderId="3" xfId="4502" applyFont="1" applyFill="1" applyBorder="1" applyAlignment="1">
      <alignment horizontal="center"/>
    </xf>
    <xf numFmtId="44" fontId="154" fillId="50" borderId="4" xfId="4502" applyFont="1" applyFill="1" applyBorder="1" applyAlignment="1">
      <alignment horizontal="center"/>
    </xf>
    <xf numFmtId="44" fontId="154" fillId="50" borderId="5" xfId="4502" applyFont="1" applyFill="1" applyBorder="1" applyAlignment="1">
      <alignment horizontal="center"/>
    </xf>
    <xf numFmtId="0" fontId="150" fillId="48" borderId="94" xfId="4501" applyFont="1" applyFill="1" applyBorder="1" applyAlignment="1" applyProtection="1">
      <alignment horizontal="center"/>
      <protection locked="0"/>
    </xf>
    <xf numFmtId="0" fontId="150" fillId="48" borderId="4" xfId="4501" applyFont="1" applyFill="1" applyBorder="1" applyAlignment="1" applyProtection="1">
      <alignment horizontal="center"/>
      <protection locked="0"/>
    </xf>
    <xf numFmtId="0" fontId="150" fillId="48" borderId="81" xfId="4501" applyFont="1" applyFill="1" applyBorder="1" applyAlignment="1" applyProtection="1">
      <alignment horizontal="center"/>
      <protection locked="0"/>
    </xf>
    <xf numFmtId="0" fontId="50" fillId="48" borderId="94" xfId="4501" applyFont="1" applyFill="1" applyBorder="1" applyAlignment="1" applyProtection="1">
      <alignment horizontal="center"/>
      <protection locked="0"/>
    </xf>
    <xf numFmtId="0" fontId="50" fillId="48" borderId="4" xfId="4501" applyFont="1" applyFill="1" applyBorder="1" applyAlignment="1" applyProtection="1">
      <alignment horizontal="center"/>
      <protection locked="0"/>
    </xf>
    <xf numFmtId="0" fontId="50" fillId="48" borderId="93" xfId="4501" applyFont="1" applyFill="1" applyBorder="1" applyAlignment="1" applyProtection="1">
      <alignment horizontal="center"/>
      <protection locked="0"/>
    </xf>
    <xf numFmtId="164" fontId="5" fillId="48" borderId="4" xfId="4501" applyNumberFormat="1" applyFill="1" applyBorder="1" applyAlignment="1" applyProtection="1">
      <alignment horizontal="center"/>
    </xf>
    <xf numFmtId="164" fontId="5" fillId="48" borderId="81" xfId="4501" applyNumberFormat="1" applyFill="1" applyBorder="1" applyAlignment="1" applyProtection="1">
      <alignment horizontal="center"/>
    </xf>
    <xf numFmtId="44" fontId="154" fillId="45" borderId="75" xfId="4502" applyFont="1" applyFill="1" applyBorder="1" applyAlignment="1">
      <alignment horizontal="center"/>
    </xf>
    <xf numFmtId="44" fontId="154" fillId="45" borderId="95" xfId="4502" applyFont="1" applyFill="1" applyBorder="1" applyAlignment="1">
      <alignment horizontal="center"/>
    </xf>
    <xf numFmtId="0" fontId="60" fillId="51" borderId="66" xfId="4501" applyFont="1" applyFill="1" applyBorder="1" applyAlignment="1">
      <alignment horizontal="center"/>
    </xf>
    <xf numFmtId="0" fontId="60" fillId="51" borderId="29" xfId="4501" applyFont="1" applyFill="1" applyBorder="1" applyAlignment="1">
      <alignment horizontal="center"/>
    </xf>
    <xf numFmtId="0" fontId="60" fillId="51" borderId="31" xfId="4501" applyFont="1" applyFill="1" applyBorder="1" applyAlignment="1">
      <alignment horizontal="center"/>
    </xf>
    <xf numFmtId="0" fontId="5" fillId="51" borderId="67" xfId="4501" applyFill="1" applyBorder="1" applyAlignment="1">
      <alignment horizontal="center"/>
    </xf>
    <xf numFmtId="0" fontId="5" fillId="51" borderId="0" xfId="4501" applyFill="1" applyBorder="1" applyAlignment="1">
      <alignment horizontal="center"/>
    </xf>
    <xf numFmtId="0" fontId="5" fillId="51" borderId="41" xfId="4501" applyFill="1" applyBorder="1" applyAlignment="1">
      <alignment horizontal="center"/>
    </xf>
    <xf numFmtId="0" fontId="19" fillId="51" borderId="67" xfId="4501" applyFont="1" applyFill="1" applyBorder="1" applyAlignment="1">
      <alignment horizontal="center"/>
    </xf>
    <xf numFmtId="0" fontId="19" fillId="51" borderId="0" xfId="4501" applyFont="1" applyFill="1" applyBorder="1" applyAlignment="1">
      <alignment horizontal="center"/>
    </xf>
    <xf numFmtId="0" fontId="19" fillId="51" borderId="41" xfId="4501" applyFont="1" applyFill="1" applyBorder="1" applyAlignment="1">
      <alignment horizontal="center"/>
    </xf>
    <xf numFmtId="0" fontId="150" fillId="48" borderId="83" xfId="4501" applyFont="1" applyFill="1" applyBorder="1" applyAlignment="1" applyProtection="1">
      <alignment horizontal="center"/>
      <protection locked="0"/>
    </xf>
    <xf numFmtId="0" fontId="150" fillId="48" borderId="84" xfId="4501" applyFont="1" applyFill="1" applyBorder="1" applyAlignment="1" applyProtection="1">
      <alignment horizontal="center"/>
      <protection locked="0"/>
    </xf>
    <xf numFmtId="0" fontId="50" fillId="48" borderId="95" xfId="4501" applyFont="1" applyFill="1" applyBorder="1" applyAlignment="1" applyProtection="1">
      <alignment horizontal="center"/>
      <protection locked="0"/>
    </xf>
    <xf numFmtId="164" fontId="5" fillId="48" borderId="84" xfId="4501" applyNumberFormat="1" applyFill="1" applyBorder="1" applyAlignment="1" applyProtection="1">
      <alignment horizontal="center"/>
      <protection locked="0"/>
    </xf>
    <xf numFmtId="164" fontId="5" fillId="48" borderId="87" xfId="4501" applyNumberFormat="1" applyFill="1" applyBorder="1" applyAlignment="1" applyProtection="1">
      <alignment horizontal="center"/>
      <protection locked="0"/>
    </xf>
    <xf numFmtId="0" fontId="5" fillId="48" borderId="83" xfId="4501" applyFill="1" applyBorder="1" applyAlignment="1" applyProtection="1">
      <alignment horizontal="center"/>
      <protection locked="0"/>
    </xf>
    <xf numFmtId="0" fontId="5" fillId="48" borderId="84" xfId="4501" applyFill="1" applyBorder="1" applyAlignment="1" applyProtection="1">
      <alignment horizontal="center"/>
      <protection locked="0"/>
    </xf>
    <xf numFmtId="0" fontId="5" fillId="48" borderId="87" xfId="4501" applyFill="1" applyBorder="1" applyAlignment="1" applyProtection="1">
      <alignment horizontal="center"/>
      <protection locked="0"/>
    </xf>
    <xf numFmtId="0" fontId="165" fillId="0" borderId="67" xfId="4501" applyFont="1" applyBorder="1" applyAlignment="1">
      <alignment horizontal="center"/>
    </xf>
    <xf numFmtId="0" fontId="165" fillId="0" borderId="0" xfId="4501" applyFont="1" applyBorder="1" applyAlignment="1">
      <alignment horizontal="center"/>
    </xf>
    <xf numFmtId="0" fontId="165" fillId="0" borderId="12" xfId="4501" applyFont="1" applyBorder="1" applyAlignment="1">
      <alignment horizontal="center"/>
    </xf>
    <xf numFmtId="44" fontId="154" fillId="45" borderId="105" xfId="4505" applyFont="1" applyFill="1" applyBorder="1" applyAlignment="1">
      <alignment horizontal="center"/>
    </xf>
    <xf numFmtId="44" fontId="154" fillId="45" borderId="29" xfId="4505" applyFont="1" applyFill="1" applyBorder="1" applyAlignment="1">
      <alignment horizontal="center"/>
    </xf>
    <xf numFmtId="44" fontId="154" fillId="45" borderId="31" xfId="4505" applyFont="1" applyFill="1" applyBorder="1" applyAlignment="1">
      <alignment horizontal="center"/>
    </xf>
    <xf numFmtId="0" fontId="98" fillId="45" borderId="0" xfId="4504" applyFont="1" applyFill="1" applyBorder="1" applyAlignment="1">
      <alignment horizontal="left" vertical="top"/>
    </xf>
    <xf numFmtId="0" fontId="5" fillId="48" borderId="68" xfId="4501" applyFill="1" applyBorder="1" applyAlignment="1" applyProtection="1">
      <alignment horizontal="center"/>
      <protection locked="0"/>
    </xf>
    <xf numFmtId="0" fontId="5" fillId="48" borderId="69" xfId="4501" applyFill="1" applyBorder="1" applyAlignment="1" applyProtection="1">
      <alignment horizontal="center"/>
      <protection locked="0"/>
    </xf>
    <xf numFmtId="0" fontId="5" fillId="48" borderId="70" xfId="4501" applyFill="1" applyBorder="1" applyAlignment="1" applyProtection="1">
      <alignment horizontal="center"/>
      <protection locked="0"/>
    </xf>
    <xf numFmtId="0" fontId="98" fillId="45" borderId="0" xfId="4501" applyFont="1" applyFill="1" applyBorder="1" applyAlignment="1">
      <alignment horizontal="left"/>
    </xf>
    <xf numFmtId="0" fontId="19" fillId="45" borderId="0" xfId="4501" applyFont="1" applyFill="1" applyBorder="1" applyAlignment="1">
      <alignment horizontal="left" vertical="top"/>
    </xf>
    <xf numFmtId="0" fontId="98" fillId="51" borderId="67" xfId="4501" applyFont="1" applyFill="1" applyBorder="1" applyAlignment="1">
      <alignment horizontal="center"/>
    </xf>
    <xf numFmtId="0" fontId="98" fillId="51" borderId="0" xfId="4501" applyFont="1" applyFill="1" applyBorder="1" applyAlignment="1">
      <alignment horizontal="center"/>
    </xf>
    <xf numFmtId="0" fontId="98" fillId="51" borderId="41" xfId="4501" applyFont="1" applyFill="1" applyBorder="1" applyAlignment="1">
      <alignment horizontal="center"/>
    </xf>
    <xf numFmtId="0" fontId="98" fillId="51" borderId="0" xfId="4501" applyFont="1" applyFill="1" applyBorder="1" applyAlignment="1">
      <alignment horizontal="left"/>
    </xf>
    <xf numFmtId="0" fontId="98" fillId="51" borderId="0" xfId="4501" applyFont="1" applyFill="1" applyBorder="1" applyAlignment="1">
      <alignment horizontal="left" vertical="top" wrapText="1"/>
    </xf>
    <xf numFmtId="0" fontId="98" fillId="51" borderId="42" xfId="4501" applyFont="1" applyFill="1" applyBorder="1" applyAlignment="1">
      <alignment horizontal="center"/>
    </xf>
    <xf numFmtId="164" fontId="12" fillId="0" borderId="50" xfId="4496" applyNumberFormat="1" applyFont="1" applyFill="1" applyBorder="1" applyAlignment="1" applyProtection="1">
      <alignment horizontal="center" vertical="top" wrapText="1"/>
    </xf>
    <xf numFmtId="164" fontId="12" fillId="0" borderId="51" xfId="4496" applyNumberFormat="1" applyFont="1" applyFill="1" applyBorder="1" applyAlignment="1" applyProtection="1">
      <alignment horizontal="center" vertical="top" wrapText="1"/>
    </xf>
    <xf numFmtId="164" fontId="12" fillId="0" borderId="52" xfId="4496" applyNumberFormat="1" applyFont="1" applyFill="1" applyBorder="1" applyAlignment="1" applyProtection="1">
      <alignment horizontal="center" vertical="top" wrapText="1"/>
    </xf>
    <xf numFmtId="164" fontId="12" fillId="0" borderId="53" xfId="4496" applyNumberFormat="1" applyFont="1" applyFill="1" applyBorder="1" applyAlignment="1" applyProtection="1">
      <alignment horizontal="center" vertical="top" wrapText="1"/>
    </xf>
    <xf numFmtId="164" fontId="12" fillId="0" borderId="0" xfId="4496" applyNumberFormat="1" applyFont="1" applyFill="1" applyBorder="1" applyAlignment="1" applyProtection="1">
      <alignment horizontal="center" vertical="top" wrapText="1"/>
    </xf>
    <xf numFmtId="164" fontId="12" fillId="0" borderId="54" xfId="4496" applyNumberFormat="1" applyFont="1" applyFill="1" applyBorder="1" applyAlignment="1" applyProtection="1">
      <alignment horizontal="center" vertical="top" wrapText="1"/>
    </xf>
    <xf numFmtId="164" fontId="12" fillId="0" borderId="57" xfId="4496" applyNumberFormat="1" applyFont="1" applyFill="1" applyBorder="1" applyAlignment="1" applyProtection="1">
      <alignment horizontal="center" vertical="top" wrapText="1"/>
    </xf>
    <xf numFmtId="164" fontId="12" fillId="0" borderId="58" xfId="4496" applyNumberFormat="1" applyFont="1" applyFill="1" applyBorder="1" applyAlignment="1" applyProtection="1">
      <alignment horizontal="center" vertical="top" wrapText="1"/>
    </xf>
    <xf numFmtId="164" fontId="12" fillId="0" borderId="59" xfId="4496" applyNumberFormat="1" applyFont="1" applyFill="1" applyBorder="1" applyAlignment="1" applyProtection="1">
      <alignment horizontal="center" vertical="top" wrapText="1"/>
    </xf>
    <xf numFmtId="0" fontId="12" fillId="46" borderId="11" xfId="4496" applyFont="1" applyFill="1" applyBorder="1" applyAlignment="1" applyProtection="1">
      <alignment horizontal="center"/>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168" fontId="12" fillId="0" borderId="0" xfId="1193" applyNumberFormat="1" applyFont="1" applyBorder="1" applyAlignment="1" applyProtection="1">
      <alignment horizontal="right"/>
    </xf>
    <xf numFmtId="0" fontId="145" fillId="0" borderId="0" xfId="1193" applyFont="1" applyBorder="1" applyAlignment="1" applyProtection="1">
      <alignment horizontal="center"/>
    </xf>
    <xf numFmtId="168" fontId="12" fillId="44" borderId="6" xfId="543" applyNumberFormat="1" applyFont="1" applyFill="1" applyBorder="1" applyAlignment="1" applyProtection="1">
      <alignment horizontal="center"/>
      <protection locked="0"/>
    </xf>
    <xf numFmtId="168" fontId="12" fillId="5" borderId="4" xfId="1193" applyNumberFormat="1" applyFont="1" applyFill="1" applyBorder="1" applyAlignment="1" applyProtection="1">
      <alignment horizontal="center"/>
      <protection locked="0"/>
    </xf>
    <xf numFmtId="4" fontId="20" fillId="0" borderId="0" xfId="4496" applyNumberFormat="1" applyFont="1" applyAlignment="1" applyProtection="1">
      <alignment horizontal="center"/>
    </xf>
    <xf numFmtId="4" fontId="20" fillId="0" borderId="6" xfId="4496" applyNumberFormat="1" applyFont="1" applyBorder="1" applyAlignment="1" applyProtection="1">
      <alignment horizontal="center"/>
    </xf>
    <xf numFmtId="1" fontId="12" fillId="5" borderId="2" xfId="1193" applyNumberFormat="1" applyFont="1" applyFill="1" applyBorder="1" applyAlignment="1" applyProtection="1">
      <alignment horizontal="center"/>
      <protection locked="0"/>
    </xf>
    <xf numFmtId="168" fontId="12" fillId="0" borderId="0" xfId="1193" applyNumberFormat="1" applyFont="1" applyAlignment="1" applyProtection="1">
      <alignment horizontal="right"/>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6" xfId="4497" applyNumberFormat="1" applyFont="1" applyFill="1" applyBorder="1" applyAlignment="1" applyProtection="1">
      <alignment horizontal="center"/>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0" fontId="12" fillId="0" borderId="3" xfId="4496" applyFont="1" applyFill="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9" fillId="0" borderId="0" xfId="4496" applyFont="1" applyFill="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10" fontId="20" fillId="0" borderId="2" xfId="4496" applyNumberFormat="1" applyFont="1" applyBorder="1" applyAlignment="1" applyProtection="1">
      <alignment horizontal="center"/>
    </xf>
    <xf numFmtId="0" fontId="20" fillId="0" borderId="0" xfId="4496" applyFont="1" applyAlignment="1" applyProtection="1">
      <alignment horizontal="center"/>
    </xf>
    <xf numFmtId="9" fontId="20" fillId="5" borderId="6" xfId="4496" applyNumberFormat="1" applyFont="1" applyFill="1" applyBorder="1" applyAlignment="1" applyProtection="1">
      <alignment horizontal="left"/>
    </xf>
    <xf numFmtId="0" fontId="126" fillId="0" borderId="0" xfId="4496" applyFont="1" applyAlignment="1">
      <alignment horizontal="left" vertical="top" wrapText="1"/>
    </xf>
    <xf numFmtId="0" fontId="28" fillId="0" borderId="2" xfId="4496" applyFont="1" applyFill="1" applyBorder="1" applyAlignment="1">
      <alignment horizontal="center"/>
    </xf>
    <xf numFmtId="0" fontId="28" fillId="0" borderId="6" xfId="4496" applyFont="1" applyFill="1" applyBorder="1" applyAlignment="1">
      <alignment horizontal="center"/>
    </xf>
    <xf numFmtId="0" fontId="19" fillId="0" borderId="11" xfId="4496" applyFont="1" applyBorder="1" applyAlignment="1" applyProtection="1">
      <alignment horizontal="center"/>
    </xf>
    <xf numFmtId="0" fontId="116" fillId="5" borderId="55" xfId="4496" applyFill="1" applyBorder="1" applyAlignment="1" applyProtection="1">
      <alignment horizontal="center"/>
      <protection locked="0"/>
    </xf>
    <xf numFmtId="0" fontId="116" fillId="5" borderId="6"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12" fillId="5" borderId="6" xfId="4496" applyFont="1" applyFill="1" applyBorder="1" applyAlignment="1" applyProtection="1">
      <alignment horizontal="center" vertical="center" wrapText="1" shrinkToFit="1"/>
      <protection locked="0"/>
    </xf>
    <xf numFmtId="0" fontId="12" fillId="0" borderId="0" xfId="4496" applyFont="1" applyFill="1" applyBorder="1" applyAlignment="1" applyProtection="1">
      <alignment horizontal="left" vertical="top" wrapText="1"/>
    </xf>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0" fontId="145" fillId="0" borderId="6" xfId="1193" applyFont="1" applyBorder="1" applyAlignment="1" applyProtection="1">
      <alignment horizontal="center"/>
    </xf>
    <xf numFmtId="0" fontId="12" fillId="0" borderId="6" xfId="1193" applyFont="1" applyFill="1" applyBorder="1" applyAlignment="1" applyProtection="1">
      <alignment horizontal="left"/>
    </xf>
    <xf numFmtId="9" fontId="12" fillId="5" borderId="4" xfId="1193" applyNumberFormat="1" applyFont="1" applyFill="1" applyBorder="1" applyAlignment="1" applyProtection="1">
      <alignment horizontal="left"/>
      <protection locked="0"/>
    </xf>
    <xf numFmtId="0" fontId="12" fillId="0" borderId="6" xfId="1193" applyFont="1" applyBorder="1" applyAlignment="1" applyProtection="1">
      <alignment horizontal="right"/>
    </xf>
    <xf numFmtId="168" fontId="12" fillId="44" borderId="6" xfId="1193" applyNumberFormat="1" applyFont="1" applyFill="1" applyBorder="1" applyAlignment="1" applyProtection="1">
      <alignment horizontal="right"/>
      <protection locked="0"/>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1" fontId="12" fillId="0" borderId="11" xfId="4496" applyNumberFormat="1" applyFont="1" applyFill="1" applyBorder="1" applyAlignment="1" applyProtection="1">
      <alignment horizontal="center"/>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0" fontId="19" fillId="0" borderId="4" xfId="4496" applyFont="1" applyBorder="1"/>
    <xf numFmtId="0" fontId="19" fillId="0" borderId="5" xfId="4496" applyFont="1" applyBorder="1"/>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1" fontId="19" fillId="0" borderId="4" xfId="4496" applyNumberFormat="1" applyFont="1" applyFill="1" applyBorder="1" applyAlignment="1" applyProtection="1">
      <alignment horizontal="center" wrapText="1"/>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9" fillId="0" borderId="0" xfId="4496" applyFont="1" applyFill="1" applyBorder="1" applyAlignment="1" applyProtection="1">
      <alignment horizontal="right"/>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20" fillId="0" borderId="58" xfId="4496" applyFont="1" applyBorder="1" applyAlignment="1">
      <alignment horizontal="left" vertical="top" wrapText="1"/>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5" borderId="63" xfId="4496"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26" fillId="0" borderId="0" xfId="4496" applyFont="1" applyAlignment="1">
      <alignment horizontal="left" vertical="center" wrapText="1"/>
    </xf>
    <xf numFmtId="0" fontId="19" fillId="0" borderId="0" xfId="4496" applyFont="1" applyFill="1" applyBorder="1" applyAlignment="1" applyProtection="1">
      <alignment horizontal="center" vertical="top"/>
    </xf>
    <xf numFmtId="0" fontId="19" fillId="0" borderId="0"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2" fillId="5" borderId="6" xfId="4496" applyFont="1" applyFill="1" applyBorder="1" applyAlignment="1" applyProtection="1">
      <alignment horizontal="center"/>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0" borderId="53"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116" fillId="0" borderId="0" xfId="4496"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168" fontId="12" fillId="44" borderId="6" xfId="4496" applyNumberFormat="1" applyFont="1" applyFill="1" applyBorder="1" applyAlignment="1" applyProtection="1">
      <alignment horizontal="right"/>
      <protection locked="0"/>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0" fontId="12" fillId="5" borderId="6" xfId="1193" applyFont="1" applyFill="1" applyBorder="1" applyAlignment="1" applyProtection="1">
      <alignment horizontal="left"/>
      <protection locked="0"/>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12" fillId="5" borderId="6" xfId="4496" applyFont="1" applyFill="1" applyBorder="1" applyAlignment="1" applyProtection="1">
      <alignment horizontal="left"/>
      <protection locked="0"/>
    </xf>
    <xf numFmtId="0" fontId="49" fillId="5" borderId="6" xfId="4496" applyFont="1" applyFill="1" applyBorder="1" applyAlignment="1" applyProtection="1">
      <alignment horizontal="left"/>
      <protection locked="0"/>
    </xf>
    <xf numFmtId="0" fontId="12" fillId="0" borderId="11" xfId="4496" applyNumberFormat="1" applyFont="1" applyFill="1" applyBorder="1" applyAlignment="1" applyProtection="1">
      <alignment horizontal="center"/>
    </xf>
    <xf numFmtId="0" fontId="12" fillId="0" borderId="0" xfId="1193" applyFont="1" applyBorder="1" applyAlignment="1" applyProtection="1">
      <alignment horizontal="right"/>
    </xf>
    <xf numFmtId="0" fontId="12" fillId="0" borderId="0" xfId="1193" applyFont="1" applyAlignment="1" applyProtection="1">
      <alignment horizontal="right"/>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1" fontId="12" fillId="5" borderId="4" xfId="1193" applyNumberFormat="1" applyFont="1" applyFill="1" applyBorder="1" applyAlignment="1" applyProtection="1">
      <alignment horizontal="center"/>
      <protection locked="0"/>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0" fontId="19" fillId="0" borderId="0" xfId="4496" applyFont="1" applyAlignment="1" applyProtection="1">
      <alignment horizontal="right"/>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168" fontId="118" fillId="0" borderId="6" xfId="4497" applyNumberFormat="1" applyFont="1" applyFill="1" applyBorder="1" applyAlignment="1">
      <alignment horizontal="center" vertical="top"/>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5" borderId="6" xfId="4497" applyFont="1" applyFill="1" applyBorder="1" applyAlignment="1" applyProtection="1">
      <alignment horizontal="center"/>
      <protection locked="0"/>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18" fillId="5" borderId="55" xfId="4497" applyFont="1" applyFill="1" applyBorder="1" applyAlignment="1" applyProtection="1">
      <alignment horizontal="center"/>
      <protection locked="0"/>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0" xfId="4497" applyFont="1" applyAlignment="1">
      <alignment horizontal="left" vertical="center" wrapText="1"/>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ill="1" applyBorder="1" applyAlignment="1">
      <alignment horizontal="center"/>
    </xf>
    <xf numFmtId="168" fontId="12" fillId="0" borderId="11" xfId="570" applyNumberFormat="1" applyFill="1" applyBorder="1" applyAlignment="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79" fontId="19" fillId="0" borderId="0" xfId="570"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70" applyNumberFormat="1" applyFont="1" applyFill="1" applyBorder="1" applyAlignment="1" applyProtection="1">
      <alignment horizontal="center"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49" fillId="0" borderId="0" xfId="570" applyFont="1" applyBorder="1" applyAlignment="1">
      <alignment horizontal="lef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0" fontId="19" fillId="0" borderId="11" xfId="570" applyFont="1" applyBorder="1" applyAlignment="1">
      <alignment horizontal="center" wrapText="1"/>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0" borderId="11" xfId="570" applyNumberFormat="1" applyFill="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570" applyFont="1" applyBorder="1" applyAlignment="1">
      <alignment horizontal="left" wrapText="1"/>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1" xfId="570" applyFont="1" applyBorder="1" applyAlignment="1">
      <alignment horizontal="center"/>
    </xf>
    <xf numFmtId="165" fontId="12" fillId="0" borderId="11" xfId="570" applyNumberFormat="1" applyFill="1" applyBorder="1" applyAlignment="1" applyProtection="1">
      <alignment horizontal="center"/>
      <protection locked="0"/>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0" fontId="103" fillId="0" borderId="0" xfId="0" applyFont="1" applyFill="1" applyBorder="1" applyAlignment="1">
      <alignment horizontal="left" vertical="top" wrapText="1"/>
    </xf>
    <xf numFmtId="0" fontId="61" fillId="0" borderId="15" xfId="570" applyFont="1" applyBorder="1" applyAlignment="1">
      <alignment horizontal="center" vertical="center" wrapText="1"/>
    </xf>
    <xf numFmtId="0" fontId="61" fillId="0" borderId="13" xfId="570" applyFont="1" applyBorder="1" applyAlignment="1">
      <alignment horizontal="center" vertical="center" wrapText="1"/>
    </xf>
    <xf numFmtId="49" fontId="132" fillId="3" borderId="0" xfId="570" applyNumberFormat="1" applyFont="1" applyFill="1" applyBorder="1" applyAlignment="1" applyProtection="1">
      <alignment horizontal="center" vertical="center"/>
    </xf>
    <xf numFmtId="0" fontId="17" fillId="0" borderId="0" xfId="570" applyFont="1" applyBorder="1" applyAlignment="1">
      <alignment horizontal="left" vertical="center" wrapText="1"/>
    </xf>
    <xf numFmtId="0" fontId="17" fillId="0" borderId="6" xfId="570" applyFont="1" applyBorder="1" applyAlignment="1">
      <alignment horizontal="left" vertical="center" wrapText="1"/>
    </xf>
    <xf numFmtId="0" fontId="17" fillId="0" borderId="4" xfId="570" applyFont="1" applyBorder="1" applyAlignment="1">
      <alignment horizontal="left" vertical="center" wrapText="1"/>
    </xf>
    <xf numFmtId="0" fontId="17" fillId="0" borderId="4" xfId="570" applyFont="1" applyBorder="1" applyAlignment="1">
      <alignment horizontal="left" wrapText="1"/>
    </xf>
    <xf numFmtId="0" fontId="61" fillId="0" borderId="1" xfId="570" applyFont="1" applyBorder="1" applyAlignment="1">
      <alignment horizontal="center" vertical="center"/>
    </xf>
    <xf numFmtId="0" fontId="12" fillId="0" borderId="2" xfId="570" applyBorder="1" applyAlignment="1"/>
    <xf numFmtId="0" fontId="12" fillId="0" borderId="7" xfId="570" applyBorder="1" applyAlignment="1"/>
    <xf numFmtId="0" fontId="12" fillId="0" borderId="9" xfId="570" applyBorder="1" applyAlignment="1"/>
    <xf numFmtId="0" fontId="12" fillId="0" borderId="6" xfId="570" applyBorder="1" applyAlignment="1"/>
    <xf numFmtId="0" fontId="12" fillId="0" borderId="10" xfId="570" applyBorder="1" applyAlignment="1"/>
    <xf numFmtId="0" fontId="61" fillId="0" borderId="15" xfId="1193" applyFont="1" applyBorder="1" applyAlignment="1">
      <alignment horizontal="center" vertical="center" wrapText="1"/>
    </xf>
    <xf numFmtId="0" fontId="61" fillId="0" borderId="13" xfId="1193" applyFont="1" applyBorder="1" applyAlignment="1">
      <alignment horizontal="center" vertical="center"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5" borderId="0" xfId="0" applyFont="1" applyFill="1" applyAlignment="1">
      <alignment horizontal="left" wrapText="1"/>
    </xf>
    <xf numFmtId="0" fontId="17" fillId="5" borderId="0" xfId="0" applyFont="1" applyFill="1" applyAlignment="1">
      <alignment horizontal="left"/>
    </xf>
    <xf numFmtId="0" fontId="17" fillId="0" borderId="6" xfId="271" applyFont="1" applyBorder="1" applyAlignment="1" applyProtection="1">
      <alignment horizontal="center"/>
    </xf>
  </cellXfs>
  <cellStyles count="25575">
    <cellStyle name="20% - Accent1" xfId="1" builtinId="30" customBuiltin="1"/>
    <cellStyle name="20% - Accent1 10" xfId="4507" xr:uid="{00000000-0005-0000-0000-000001000000}"/>
    <cellStyle name="20% - Accent1 10 2" xfId="12936" xr:uid="{F9A74742-D068-4815-97AB-E4AE7004EF51}"/>
    <cellStyle name="20% - Accent1 10 3" xfId="21364" xr:uid="{DC1953EC-29C8-4F29-A4C9-B602D77AD974}"/>
    <cellStyle name="20% - Accent1 11" xfId="8718" xr:uid="{44602CB6-B4EB-4AE9-A62D-D2B7B235973A}"/>
    <cellStyle name="20% - Accent1 12" xfId="17147" xr:uid="{C5CF9495-5622-4499-BC87-DFD94A5C110E}"/>
    <cellStyle name="20% - Accent1 2" xfId="2" xr:uid="{00000000-0005-0000-0000-000002000000}"/>
    <cellStyle name="20% - Accent1 2 10" xfId="8719" xr:uid="{BDF23572-5FA8-4185-BB9D-3161457050E0}"/>
    <cellStyle name="20% - Accent1 2 11" xfId="17148" xr:uid="{62B2435A-3CE8-4C0C-ABBC-619BED17C98B}"/>
    <cellStyle name="20% - Accent1 2 2" xfId="3" xr:uid="{00000000-0005-0000-0000-000003000000}"/>
    <cellStyle name="20% - Accent1 2 2 10" xfId="17149" xr:uid="{5646E617-FEDD-41D3-B49D-10506D1F4373}"/>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8" xr:uid="{D18FA645-4C48-45A6-98E4-E142379569D8}"/>
    <cellStyle name="20% - Accent1 2 2 2 2 2 2 3" xfId="23926" xr:uid="{9ADB3C6C-75D3-455F-8EB6-A6D911F75E22}"/>
    <cellStyle name="20% - Accent1 2 2 2 2 2 3" xfId="11280" xr:uid="{3A66E254-1F39-41E1-A5C6-D7A7960AC560}"/>
    <cellStyle name="20% - Accent1 2 2 2 2 2 4" xfId="19709" xr:uid="{877A74AA-E0A0-4CE8-A125-E90DFEB22B4C}"/>
    <cellStyle name="20% - Accent1 2 2 2 2 3" xfId="4924" xr:uid="{00000000-0005-0000-0000-000008000000}"/>
    <cellStyle name="20% - Accent1 2 2 2 2 3 2" xfId="13353" xr:uid="{08DFE13F-6228-454E-9E5D-F513395363CD}"/>
    <cellStyle name="20% - Accent1 2 2 2 2 3 3" xfId="21781" xr:uid="{4F1978DA-5AB1-4247-8EDD-8411A9AFFD2D}"/>
    <cellStyle name="20% - Accent1 2 2 2 2 4" xfId="9135" xr:uid="{07782064-71DD-44E4-AFCB-4B0AC91AD353}"/>
    <cellStyle name="20% - Accent1 2 2 2 2 5" xfId="17564" xr:uid="{C68F2829-83F8-4953-BAE2-6163DBE00733}"/>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11" xr:uid="{39504C8B-D600-44AE-BB9C-EFD1CD3B8A1F}"/>
    <cellStyle name="20% - Accent1 2 2 2 3 2 2 3" xfId="24339" xr:uid="{D1C27383-DBD8-4E8D-84A4-693D8A129972}"/>
    <cellStyle name="20% - Accent1 2 2 2 3 2 3" xfId="11693" xr:uid="{5E8394D7-4B6A-4A2F-BBA0-58EB48F5B628}"/>
    <cellStyle name="20% - Accent1 2 2 2 3 2 4" xfId="20122" xr:uid="{A0D33682-415C-4518-9352-38F240E21552}"/>
    <cellStyle name="20% - Accent1 2 2 2 3 3" xfId="5337" xr:uid="{00000000-0005-0000-0000-00000C000000}"/>
    <cellStyle name="20% - Accent1 2 2 2 3 3 2" xfId="13766" xr:uid="{F285BA0E-44FC-47AE-802F-492FFB2498A2}"/>
    <cellStyle name="20% - Accent1 2 2 2 3 3 3" xfId="22194" xr:uid="{E41167AA-39B7-46DA-8E21-17527E893FE9}"/>
    <cellStyle name="20% - Accent1 2 2 2 3 4" xfId="9548" xr:uid="{5CF70AB3-17F0-4323-A36E-E1D7760EE481}"/>
    <cellStyle name="20% - Accent1 2 2 2 3 5" xfId="17977" xr:uid="{AE8A9AB6-F5C5-4A62-BF6A-487366CDC16D}"/>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24" xr:uid="{5FD2D0A7-1307-4595-88B9-F9E7AFD54A35}"/>
    <cellStyle name="20% - Accent1 2 2 2 4 2 2 3" xfId="24752" xr:uid="{84FD2E9C-F6A0-417B-B0C4-2466E66F6052}"/>
    <cellStyle name="20% - Accent1 2 2 2 4 2 3" xfId="12106" xr:uid="{6694A07F-2F64-42AB-89BA-880920A16C61}"/>
    <cellStyle name="20% - Accent1 2 2 2 4 2 4" xfId="20535" xr:uid="{BF7E7AAC-ED85-4968-B63A-CA0D9436682E}"/>
    <cellStyle name="20% - Accent1 2 2 2 4 3" xfId="5750" xr:uid="{00000000-0005-0000-0000-000010000000}"/>
    <cellStyle name="20% - Accent1 2 2 2 4 3 2" xfId="14179" xr:uid="{34217930-5C0B-4344-AE64-BC917672E16E}"/>
    <cellStyle name="20% - Accent1 2 2 2 4 3 3" xfId="22607" xr:uid="{C034DF18-742D-4831-8604-CB3FC4F3EA2F}"/>
    <cellStyle name="20% - Accent1 2 2 2 4 4" xfId="9961" xr:uid="{B5519CF0-7B99-4C12-8282-F3DD2BAC8037}"/>
    <cellStyle name="20% - Accent1 2 2 2 4 5" xfId="18390" xr:uid="{16CF5FB3-B08D-4EC9-823A-A0B1F81E5666}"/>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7" xr:uid="{147115DF-47AD-4791-9EFF-95C1C0A0E716}"/>
    <cellStyle name="20% - Accent1 2 2 2 5 2 2 3" xfId="25165" xr:uid="{10A6E795-1BAC-4E28-B426-8D973160AAE0}"/>
    <cellStyle name="20% - Accent1 2 2 2 5 2 3" xfId="12519" xr:uid="{65F5663C-1C53-4174-B491-738CA541D781}"/>
    <cellStyle name="20% - Accent1 2 2 2 5 2 4" xfId="20948" xr:uid="{F294E694-1187-419A-917B-442136C5ED1F}"/>
    <cellStyle name="20% - Accent1 2 2 2 5 3" xfId="6163" xr:uid="{00000000-0005-0000-0000-000014000000}"/>
    <cellStyle name="20% - Accent1 2 2 2 5 3 2" xfId="14592" xr:uid="{89D9E4B4-DC55-47CE-9F46-A9DFC7D1304C}"/>
    <cellStyle name="20% - Accent1 2 2 2 5 3 3" xfId="23020" xr:uid="{CE3B62AE-DFD1-4841-8BB6-9DB3A5351869}"/>
    <cellStyle name="20% - Accent1 2 2 2 5 4" xfId="10374" xr:uid="{840FB619-D924-40C2-8C6D-B38CE90BE631}"/>
    <cellStyle name="20% - Accent1 2 2 2 5 5" xfId="18803" xr:uid="{6878D8EA-565D-4C35-90EA-6FCD4241C46A}"/>
    <cellStyle name="20% - Accent1 2 2 2 6" xfId="2268" xr:uid="{00000000-0005-0000-0000-000015000000}"/>
    <cellStyle name="20% - Accent1 2 2 2 6 2" xfId="6576" xr:uid="{00000000-0005-0000-0000-000016000000}"/>
    <cellStyle name="20% - Accent1 2 2 2 6 2 2" xfId="15005" xr:uid="{55C2D338-95BC-4811-A2C8-B62E66CD38CE}"/>
    <cellStyle name="20% - Accent1 2 2 2 6 2 3" xfId="23433" xr:uid="{F0EC5C45-6C9A-4EA9-836E-95A80330DAFA}"/>
    <cellStyle name="20% - Accent1 2 2 2 6 3" xfId="10787" xr:uid="{982D65F7-A1CA-47B8-841A-24853C54D49F}"/>
    <cellStyle name="20% - Accent1 2 2 2 6 4" xfId="19216" xr:uid="{D2701A92-D428-446C-9A2A-7F19638F80A5}"/>
    <cellStyle name="20% - Accent1 2 2 2 7" xfId="4510" xr:uid="{00000000-0005-0000-0000-000017000000}"/>
    <cellStyle name="20% - Accent1 2 2 2 7 2" xfId="12939" xr:uid="{1E16FA54-9505-4D4B-A0F5-510F444469A0}"/>
    <cellStyle name="20% - Accent1 2 2 2 7 3" xfId="21367" xr:uid="{E8017E11-F8C8-4409-ADF9-D2C0F827F760}"/>
    <cellStyle name="20% - Accent1 2 2 2 8" xfId="8721" xr:uid="{DBE88EEB-3581-451D-8F58-4A37A3AF1002}"/>
    <cellStyle name="20% - Accent1 2 2 2 9" xfId="17150" xr:uid="{A5775280-74A7-45EE-B9B3-0C83C14363FC}"/>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7" xr:uid="{2205E144-6BE5-4D52-AD94-AB9779A17729}"/>
    <cellStyle name="20% - Accent1 2 2 3 2 2 3" xfId="23925" xr:uid="{6FD6C8A4-694F-4D6B-B287-A5BEF82CBF76}"/>
    <cellStyle name="20% - Accent1 2 2 3 2 3" xfId="11279" xr:uid="{61D794BB-8F7F-40F9-8806-40D3AB96FF24}"/>
    <cellStyle name="20% - Accent1 2 2 3 2 4" xfId="19708" xr:uid="{F0B97D48-4453-4BB1-8F44-57BF4C63D8DE}"/>
    <cellStyle name="20% - Accent1 2 2 3 3" xfId="4923" xr:uid="{00000000-0005-0000-0000-00001B000000}"/>
    <cellStyle name="20% - Accent1 2 2 3 3 2" xfId="13352" xr:uid="{BDF2D3E4-64EA-4524-9F5A-26423BA9A0DE}"/>
    <cellStyle name="20% - Accent1 2 2 3 3 3" xfId="21780" xr:uid="{A0093E33-25EC-4F5A-AF52-77A798560EB1}"/>
    <cellStyle name="20% - Accent1 2 2 3 4" xfId="9134" xr:uid="{032E4B9B-0EB4-4E0A-BABE-5053BB664249}"/>
    <cellStyle name="20% - Accent1 2 2 3 5" xfId="17563" xr:uid="{D728A201-8767-4BD1-8EBD-CB93FD042BE6}"/>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10" xr:uid="{7DD4174E-4CFF-46D5-B528-BE0C115648C7}"/>
    <cellStyle name="20% - Accent1 2 2 4 2 2 3" xfId="24338" xr:uid="{6E6852FA-9E45-4DC6-A085-9B564A421D7D}"/>
    <cellStyle name="20% - Accent1 2 2 4 2 3" xfId="11692" xr:uid="{E8FC0146-8B17-4659-857B-6019662CBD7D}"/>
    <cellStyle name="20% - Accent1 2 2 4 2 4" xfId="20121" xr:uid="{17C72FB6-FCE1-4F42-BDED-5766A5EACC4B}"/>
    <cellStyle name="20% - Accent1 2 2 4 3" xfId="5336" xr:uid="{00000000-0005-0000-0000-00001F000000}"/>
    <cellStyle name="20% - Accent1 2 2 4 3 2" xfId="13765" xr:uid="{1761533F-FE33-4511-BA66-F9BF6BCBFA8D}"/>
    <cellStyle name="20% - Accent1 2 2 4 3 3" xfId="22193" xr:uid="{2F79CE76-AB3F-4FCF-B916-F27A1E5394E3}"/>
    <cellStyle name="20% - Accent1 2 2 4 4" xfId="9547" xr:uid="{51B90288-C1C7-4450-9AAF-F8E59E9E2F0F}"/>
    <cellStyle name="20% - Accent1 2 2 4 5" xfId="17976" xr:uid="{9885BDED-2365-450C-9C22-206BECC6E1AB}"/>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23" xr:uid="{26620396-25EC-4E97-B9B6-C2805EEDDAAC}"/>
    <cellStyle name="20% - Accent1 2 2 5 2 2 3" xfId="24751" xr:uid="{727E91CB-CEC4-4B09-9755-CF0916290F42}"/>
    <cellStyle name="20% - Accent1 2 2 5 2 3" xfId="12105" xr:uid="{C27CD05A-8D3A-46AD-8267-0A6B3A65ACBA}"/>
    <cellStyle name="20% - Accent1 2 2 5 2 4" xfId="20534" xr:uid="{B0392F95-2CA7-40F7-90E0-9A09FF476126}"/>
    <cellStyle name="20% - Accent1 2 2 5 3" xfId="5749" xr:uid="{00000000-0005-0000-0000-000023000000}"/>
    <cellStyle name="20% - Accent1 2 2 5 3 2" xfId="14178" xr:uid="{EE34BA72-01B4-452A-863E-ADDDFD4A6DDA}"/>
    <cellStyle name="20% - Accent1 2 2 5 3 3" xfId="22606" xr:uid="{AFA90DC5-638E-4A34-8CF3-1615672ACA7D}"/>
    <cellStyle name="20% - Accent1 2 2 5 4" xfId="9960" xr:uid="{398D70AF-674A-400D-AE31-59F8F6D78C30}"/>
    <cellStyle name="20% - Accent1 2 2 5 5" xfId="18389" xr:uid="{ECF8AE6C-B6FA-4D23-AD6F-35629FE6C457}"/>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36" xr:uid="{0E891C39-434F-4226-A860-5C535AFFE254}"/>
    <cellStyle name="20% - Accent1 2 2 6 2 2 3" xfId="25164" xr:uid="{08CB3E72-A6BD-4F45-9DB8-D0716C1C2051}"/>
    <cellStyle name="20% - Accent1 2 2 6 2 3" xfId="12518" xr:uid="{09E501AB-8F00-4FC5-A17F-AC59919A44CC}"/>
    <cellStyle name="20% - Accent1 2 2 6 2 4" xfId="20947" xr:uid="{9E863A16-3547-4E65-914A-2CFCD4B9B655}"/>
    <cellStyle name="20% - Accent1 2 2 6 3" xfId="6162" xr:uid="{00000000-0005-0000-0000-000027000000}"/>
    <cellStyle name="20% - Accent1 2 2 6 3 2" xfId="14591" xr:uid="{FEACD1EA-B25F-425A-A326-69580F086E3D}"/>
    <cellStyle name="20% - Accent1 2 2 6 3 3" xfId="23019" xr:uid="{72B7E7F0-2C21-4061-BAE7-644DB2D5A390}"/>
    <cellStyle name="20% - Accent1 2 2 6 4" xfId="10373" xr:uid="{0B052883-8929-4DAE-B28A-61483F3303C1}"/>
    <cellStyle name="20% - Accent1 2 2 6 5" xfId="18802" xr:uid="{A1342676-5FC3-4DC2-996E-FF407E96AA7A}"/>
    <cellStyle name="20% - Accent1 2 2 7" xfId="2267" xr:uid="{00000000-0005-0000-0000-000028000000}"/>
    <cellStyle name="20% - Accent1 2 2 7 2" xfId="6575" xr:uid="{00000000-0005-0000-0000-000029000000}"/>
    <cellStyle name="20% - Accent1 2 2 7 2 2" xfId="15004" xr:uid="{3C0C621F-50F2-4812-AFC5-657B878903BE}"/>
    <cellStyle name="20% - Accent1 2 2 7 2 3" xfId="23432" xr:uid="{66620F41-C737-4DC4-9657-69067416509B}"/>
    <cellStyle name="20% - Accent1 2 2 7 3" xfId="10786" xr:uid="{CA4ADDE2-974E-46E0-939E-B506A3E92890}"/>
    <cellStyle name="20% - Accent1 2 2 7 4" xfId="19215" xr:uid="{EA7EAFB3-512E-46E1-8689-E34BA88FBFB4}"/>
    <cellStyle name="20% - Accent1 2 2 8" xfId="4509" xr:uid="{00000000-0005-0000-0000-00002A000000}"/>
    <cellStyle name="20% - Accent1 2 2 8 2" xfId="12938" xr:uid="{489DF059-4363-49A2-BAE5-820A5FB9B755}"/>
    <cellStyle name="20% - Accent1 2 2 8 3" xfId="21366" xr:uid="{9824E060-1B18-4B96-8B44-62CFDE8A01CB}"/>
    <cellStyle name="20% - Accent1 2 2 9" xfId="8720" xr:uid="{AB17347D-86E0-4088-9A99-52AFB8D72D9D}"/>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9" xr:uid="{491E60AF-AD91-4778-A9AA-FC8D0F90BAE9}"/>
    <cellStyle name="20% - Accent1 2 3 2 2 2 3" xfId="23927" xr:uid="{2CB51CCF-B3C5-4535-BFDC-41C4E9A461E4}"/>
    <cellStyle name="20% - Accent1 2 3 2 2 3" xfId="11281" xr:uid="{2F31DB7B-91B2-4A50-B8A3-D44D931C1DDC}"/>
    <cellStyle name="20% - Accent1 2 3 2 2 4" xfId="19710" xr:uid="{0132FAFD-B3D6-4B44-9344-32EE1E1C4116}"/>
    <cellStyle name="20% - Accent1 2 3 2 3" xfId="4925" xr:uid="{00000000-0005-0000-0000-00002F000000}"/>
    <cellStyle name="20% - Accent1 2 3 2 3 2" xfId="13354" xr:uid="{C79BEBE5-3FC6-40FD-A521-2452B851FB17}"/>
    <cellStyle name="20% - Accent1 2 3 2 3 3" xfId="21782" xr:uid="{84885357-7647-41EE-AEDD-8019D7CD8467}"/>
    <cellStyle name="20% - Accent1 2 3 2 4" xfId="9136" xr:uid="{92E71E55-3DFD-4DC6-B39E-4217016460C5}"/>
    <cellStyle name="20% - Accent1 2 3 2 5" xfId="17565" xr:uid="{C19BDCC9-9F0E-475F-AA09-3737305B0B97}"/>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12" xr:uid="{75EABFCA-8C28-47EC-A155-2F2B5DC301A2}"/>
    <cellStyle name="20% - Accent1 2 3 3 2 2 3" xfId="24340" xr:uid="{058E097D-1414-4F98-8E6D-685B2CAB8714}"/>
    <cellStyle name="20% - Accent1 2 3 3 2 3" xfId="11694" xr:uid="{DA0FB954-3439-4688-95B2-0FBBA18CABCA}"/>
    <cellStyle name="20% - Accent1 2 3 3 2 4" xfId="20123" xr:uid="{29F6E991-DBE8-4E99-B8F5-D86E2FBBF3F1}"/>
    <cellStyle name="20% - Accent1 2 3 3 3" xfId="5338" xr:uid="{00000000-0005-0000-0000-000033000000}"/>
    <cellStyle name="20% - Accent1 2 3 3 3 2" xfId="13767" xr:uid="{98A953B2-8DAD-47CD-95C1-C9A57FE2C04F}"/>
    <cellStyle name="20% - Accent1 2 3 3 3 3" xfId="22195" xr:uid="{B87EE04D-8350-466D-90CD-B017331930A4}"/>
    <cellStyle name="20% - Accent1 2 3 3 4" xfId="9549" xr:uid="{7F67486B-7A81-48D5-93A8-BD0C423F114E}"/>
    <cellStyle name="20% - Accent1 2 3 3 5" xfId="17978" xr:uid="{FBE75A55-B0FE-41CD-B160-896F88E899B5}"/>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25" xr:uid="{0C2AA856-C3B3-4E85-8E34-86704D35296F}"/>
    <cellStyle name="20% - Accent1 2 3 4 2 2 3" xfId="24753" xr:uid="{C27A8698-84C6-4604-B975-2BE0DB95CC67}"/>
    <cellStyle name="20% - Accent1 2 3 4 2 3" xfId="12107" xr:uid="{C803A9E2-B64D-470B-8B98-82AA1888B758}"/>
    <cellStyle name="20% - Accent1 2 3 4 2 4" xfId="20536" xr:uid="{A182AA87-FC78-4D0D-8580-6D60B6B409DB}"/>
    <cellStyle name="20% - Accent1 2 3 4 3" xfId="5751" xr:uid="{00000000-0005-0000-0000-000037000000}"/>
    <cellStyle name="20% - Accent1 2 3 4 3 2" xfId="14180" xr:uid="{19C8D377-8C9C-433C-BDEB-3615DD63CA73}"/>
    <cellStyle name="20% - Accent1 2 3 4 3 3" xfId="22608" xr:uid="{EC91071E-1D2D-41C8-85D1-B466DCB779EE}"/>
    <cellStyle name="20% - Accent1 2 3 4 4" xfId="9962" xr:uid="{873FD962-BE2D-49E1-97B5-D64EA8DE8647}"/>
    <cellStyle name="20% - Accent1 2 3 4 5" xfId="18391" xr:uid="{19F92755-E4A1-421C-922D-B9011EAAC4F8}"/>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8" xr:uid="{01E3BE97-B74A-4542-ABD4-3E3935856E47}"/>
    <cellStyle name="20% - Accent1 2 3 5 2 2 3" xfId="25166" xr:uid="{AE28AF6E-5E64-4CC1-BEC8-748E4AF90446}"/>
    <cellStyle name="20% - Accent1 2 3 5 2 3" xfId="12520" xr:uid="{E4105F73-A3C7-448D-BC71-B922FBC1B81D}"/>
    <cellStyle name="20% - Accent1 2 3 5 2 4" xfId="20949" xr:uid="{9C09CCDD-2A57-485A-9FF0-351BC9BA8F8B}"/>
    <cellStyle name="20% - Accent1 2 3 5 3" xfId="6164" xr:uid="{00000000-0005-0000-0000-00003B000000}"/>
    <cellStyle name="20% - Accent1 2 3 5 3 2" xfId="14593" xr:uid="{EB026842-C3AE-4621-9F28-CDCE6459AA97}"/>
    <cellStyle name="20% - Accent1 2 3 5 3 3" xfId="23021" xr:uid="{5A05E9AE-9EA8-4793-BC39-92392941220A}"/>
    <cellStyle name="20% - Accent1 2 3 5 4" xfId="10375" xr:uid="{3DBB0147-5182-4D92-A3DF-C53865E1C6CA}"/>
    <cellStyle name="20% - Accent1 2 3 5 5" xfId="18804" xr:uid="{2283C87D-B44C-44D6-862E-7B9711067FD8}"/>
    <cellStyle name="20% - Accent1 2 3 6" xfId="2269" xr:uid="{00000000-0005-0000-0000-00003C000000}"/>
    <cellStyle name="20% - Accent1 2 3 6 2" xfId="6577" xr:uid="{00000000-0005-0000-0000-00003D000000}"/>
    <cellStyle name="20% - Accent1 2 3 6 2 2" xfId="15006" xr:uid="{A7A618CB-E4AA-43EA-A29E-089204993BCF}"/>
    <cellStyle name="20% - Accent1 2 3 6 2 3" xfId="23434" xr:uid="{92DB0EA3-3E25-4822-ACFF-16CBDF7770E0}"/>
    <cellStyle name="20% - Accent1 2 3 6 3" xfId="10788" xr:uid="{5ADB56CD-045D-4192-A9B8-5A046BAF1115}"/>
    <cellStyle name="20% - Accent1 2 3 6 4" xfId="19217" xr:uid="{99300D05-FD46-4C03-9DE9-FFE983B4907D}"/>
    <cellStyle name="20% - Accent1 2 3 7" xfId="4511" xr:uid="{00000000-0005-0000-0000-00003E000000}"/>
    <cellStyle name="20% - Accent1 2 3 7 2" xfId="12940" xr:uid="{E092B10E-3E4C-4F96-B1EC-B226FC60FF3D}"/>
    <cellStyle name="20% - Accent1 2 3 7 3" xfId="21368" xr:uid="{94FE3E46-BA8F-48B5-A69A-BD0E539355E4}"/>
    <cellStyle name="20% - Accent1 2 3 8" xfId="8722" xr:uid="{02663FF5-12A8-451C-8C20-8E0BC33F08EF}"/>
    <cellStyle name="20% - Accent1 2 3 9" xfId="17151" xr:uid="{91A9BDA0-68FE-451F-8D8D-AE82C0D20D76}"/>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96" xr:uid="{EED40047-D455-4191-8901-8AE725760A1B}"/>
    <cellStyle name="20% - Accent1 2 4 2 2 3" xfId="23924" xr:uid="{FD9FB6B1-FA90-4DF6-BDE3-AB1088297D6F}"/>
    <cellStyle name="20% - Accent1 2 4 2 3" xfId="11278" xr:uid="{0784BCF4-127E-467C-B50B-4F78C04BA48E}"/>
    <cellStyle name="20% - Accent1 2 4 2 4" xfId="19707" xr:uid="{9D0B9B97-E286-438C-B1AA-67D6312DD0ED}"/>
    <cellStyle name="20% - Accent1 2 4 3" xfId="4922" xr:uid="{00000000-0005-0000-0000-000042000000}"/>
    <cellStyle name="20% - Accent1 2 4 3 2" xfId="13351" xr:uid="{08788B3A-E418-4673-80C9-3572525961CA}"/>
    <cellStyle name="20% - Accent1 2 4 3 3" xfId="21779" xr:uid="{F34CED7E-70CE-4726-B79B-F57F81A311DF}"/>
    <cellStyle name="20% - Accent1 2 4 4" xfId="9133" xr:uid="{C030955D-A21F-4ED7-9770-8A15A3EED7C7}"/>
    <cellStyle name="20% - Accent1 2 4 5" xfId="17562" xr:uid="{98FD9056-BCE7-4175-BFC6-6351A0E5EE2F}"/>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9" xr:uid="{C58B6B04-D8C1-475C-BBEB-35B338903AAC}"/>
    <cellStyle name="20% - Accent1 2 5 2 2 3" xfId="24337" xr:uid="{742D7413-2CC5-43FF-879D-94C84FAC6778}"/>
    <cellStyle name="20% - Accent1 2 5 2 3" xfId="11691" xr:uid="{27F326F4-E114-408E-BB52-271F3EFF08AE}"/>
    <cellStyle name="20% - Accent1 2 5 2 4" xfId="20120" xr:uid="{DA1742DF-A511-4F9B-B640-8ADF9DF183CF}"/>
    <cellStyle name="20% - Accent1 2 5 3" xfId="5335" xr:uid="{00000000-0005-0000-0000-000046000000}"/>
    <cellStyle name="20% - Accent1 2 5 3 2" xfId="13764" xr:uid="{661C3D20-A74E-48E0-B154-1A8B408893A9}"/>
    <cellStyle name="20% - Accent1 2 5 3 3" xfId="22192" xr:uid="{F200E5BB-7A19-4DA5-8A69-0FB7B87B4C14}"/>
    <cellStyle name="20% - Accent1 2 5 4" xfId="9546" xr:uid="{9280AA65-45B2-4BA9-8990-7C96A1ECF2A8}"/>
    <cellStyle name="20% - Accent1 2 5 5" xfId="17975" xr:uid="{1D8B68B0-9242-4DD6-AFAA-D956CCD4E571}"/>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22" xr:uid="{54EBB1FC-BBB0-41E4-925F-D196C1167858}"/>
    <cellStyle name="20% - Accent1 2 6 2 2 3" xfId="24750" xr:uid="{22F9A219-147D-4F0C-A5F9-E16AECCC6255}"/>
    <cellStyle name="20% - Accent1 2 6 2 3" xfId="12104" xr:uid="{04D2EC1A-BAB0-488B-823D-4AA84EC79930}"/>
    <cellStyle name="20% - Accent1 2 6 2 4" xfId="20533" xr:uid="{A9168523-C4D8-4E9A-85DF-87345166BA16}"/>
    <cellStyle name="20% - Accent1 2 6 3" xfId="5748" xr:uid="{00000000-0005-0000-0000-00004A000000}"/>
    <cellStyle name="20% - Accent1 2 6 3 2" xfId="14177" xr:uid="{D1BDAE9A-651A-46E5-BCA5-A6A76E979828}"/>
    <cellStyle name="20% - Accent1 2 6 3 3" xfId="22605" xr:uid="{ACDDF5EF-0165-4A14-BAA5-C250DDE7CB6D}"/>
    <cellStyle name="20% - Accent1 2 6 4" xfId="9959" xr:uid="{523EC194-20E5-486C-9966-88D463ABC4F1}"/>
    <cellStyle name="20% - Accent1 2 6 5" xfId="18388" xr:uid="{F01324B7-FB46-492F-B034-110254559B62}"/>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35" xr:uid="{A45D3E38-1CFD-44D2-AF66-D1DCF6A2D79D}"/>
    <cellStyle name="20% - Accent1 2 7 2 2 3" xfId="25163" xr:uid="{83E56C50-32F4-47D8-9640-2FEB2390EC17}"/>
    <cellStyle name="20% - Accent1 2 7 2 3" xfId="12517" xr:uid="{FE72A78C-13F7-4A0D-8DCE-45A6E6029000}"/>
    <cellStyle name="20% - Accent1 2 7 2 4" xfId="20946" xr:uid="{A738DA3D-BE83-4289-A30E-069DCCE93D22}"/>
    <cellStyle name="20% - Accent1 2 7 3" xfId="6161" xr:uid="{00000000-0005-0000-0000-00004E000000}"/>
    <cellStyle name="20% - Accent1 2 7 3 2" xfId="14590" xr:uid="{532ABCC3-F1B2-4B9C-B0E4-7A1155FE9ED4}"/>
    <cellStyle name="20% - Accent1 2 7 3 3" xfId="23018" xr:uid="{EAD66324-A8A0-40C6-87D0-FF4710D560D7}"/>
    <cellStyle name="20% - Accent1 2 7 4" xfId="10372" xr:uid="{FCB9C8B7-14D7-4D56-AB81-3BB48328C655}"/>
    <cellStyle name="20% - Accent1 2 7 5" xfId="18801" xr:uid="{18ADCC9F-ED8B-4FE8-8581-D93F07425753}"/>
    <cellStyle name="20% - Accent1 2 8" xfId="2266" xr:uid="{00000000-0005-0000-0000-00004F000000}"/>
    <cellStyle name="20% - Accent1 2 8 2" xfId="6574" xr:uid="{00000000-0005-0000-0000-000050000000}"/>
    <cellStyle name="20% - Accent1 2 8 2 2" xfId="15003" xr:uid="{E9CCDF31-D0B6-479E-8E4C-A32CC06FF169}"/>
    <cellStyle name="20% - Accent1 2 8 2 3" xfId="23431" xr:uid="{668A74D5-9B6D-483F-B177-92AABE98F557}"/>
    <cellStyle name="20% - Accent1 2 8 3" xfId="10785" xr:uid="{C83F333B-7067-457B-A840-C4E2322AFB0B}"/>
    <cellStyle name="20% - Accent1 2 8 4" xfId="19214" xr:uid="{404BDEBB-8002-4791-92CA-A0E5898BF408}"/>
    <cellStyle name="20% - Accent1 2 9" xfId="4508" xr:uid="{00000000-0005-0000-0000-000051000000}"/>
    <cellStyle name="20% - Accent1 2 9 2" xfId="12937" xr:uid="{2E4C96B4-61EF-48A7-A829-A04960DC03F2}"/>
    <cellStyle name="20% - Accent1 2 9 3" xfId="21365" xr:uid="{3901D850-154D-48ED-85F1-E6280CDA9A80}"/>
    <cellStyle name="20% - Accent1 3" xfId="6" xr:uid="{00000000-0005-0000-0000-000052000000}"/>
    <cellStyle name="20% - Accent1 3 10" xfId="17152" xr:uid="{229C571A-7D10-41FF-B26B-8E66AF88E1D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501" xr:uid="{141DF768-D75B-4BAA-848E-3F26978267E3}"/>
    <cellStyle name="20% - Accent1 3 2 2 2 2 3" xfId="23929" xr:uid="{4F90AA18-1304-4DB6-817A-1BBC2A688556}"/>
    <cellStyle name="20% - Accent1 3 2 2 2 3" xfId="11283" xr:uid="{B7550F06-0C8B-40E5-9204-1FF557C0ED54}"/>
    <cellStyle name="20% - Accent1 3 2 2 2 4" xfId="19712" xr:uid="{8D4BEEAE-A1D5-412B-BAA7-218B66E5B46F}"/>
    <cellStyle name="20% - Accent1 3 2 2 3" xfId="4927" xr:uid="{00000000-0005-0000-0000-000057000000}"/>
    <cellStyle name="20% - Accent1 3 2 2 3 2" xfId="13356" xr:uid="{89C50F9F-9669-4C3D-92FB-FB6967B3BCF2}"/>
    <cellStyle name="20% - Accent1 3 2 2 3 3" xfId="21784" xr:uid="{304BB966-F1AC-4259-9008-1B98E6C9B265}"/>
    <cellStyle name="20% - Accent1 3 2 2 4" xfId="9138" xr:uid="{EB559EF2-3BD9-4CFF-BAAF-7A37707BFFFC}"/>
    <cellStyle name="20% - Accent1 3 2 2 5" xfId="17567" xr:uid="{4A2AF71D-E39E-4A6F-9ABD-08DC347B9412}"/>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14" xr:uid="{55772C8A-D23A-4017-B99D-CCCD0E023ADC}"/>
    <cellStyle name="20% - Accent1 3 2 3 2 2 3" xfId="24342" xr:uid="{1FA522C6-7FB1-4EBF-A9E6-DF1722328EFC}"/>
    <cellStyle name="20% - Accent1 3 2 3 2 3" xfId="11696" xr:uid="{FBBCB59D-E29D-4202-922E-6B6B5CC6EE19}"/>
    <cellStyle name="20% - Accent1 3 2 3 2 4" xfId="20125" xr:uid="{9E275896-BE60-445D-8789-98FB9032C89F}"/>
    <cellStyle name="20% - Accent1 3 2 3 3" xfId="5340" xr:uid="{00000000-0005-0000-0000-00005B000000}"/>
    <cellStyle name="20% - Accent1 3 2 3 3 2" xfId="13769" xr:uid="{6B92A24A-2B06-45F2-9CA7-BFF2D6B669DF}"/>
    <cellStyle name="20% - Accent1 3 2 3 3 3" xfId="22197" xr:uid="{02AD3576-3803-468E-8F2A-929C3A8BD70F}"/>
    <cellStyle name="20% - Accent1 3 2 3 4" xfId="9551" xr:uid="{B7B47C54-FD2E-4CD1-AA32-2342126C7C89}"/>
    <cellStyle name="20% - Accent1 3 2 3 5" xfId="17980" xr:uid="{B6FE78AD-9B4B-4CC5-A579-56A7118C47F1}"/>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7" xr:uid="{1D73F3AD-9748-4814-BCC5-8FCDF8594091}"/>
    <cellStyle name="20% - Accent1 3 2 4 2 2 3" xfId="24755" xr:uid="{4E0393B0-BB2A-40AA-B274-E5C2232E5FC6}"/>
    <cellStyle name="20% - Accent1 3 2 4 2 3" xfId="12109" xr:uid="{C5C88D72-0DF2-43CA-A9FA-923A4F957D6A}"/>
    <cellStyle name="20% - Accent1 3 2 4 2 4" xfId="20538" xr:uid="{DDA09E5E-2A02-458A-98D7-60B040D9312B}"/>
    <cellStyle name="20% - Accent1 3 2 4 3" xfId="5753" xr:uid="{00000000-0005-0000-0000-00005F000000}"/>
    <cellStyle name="20% - Accent1 3 2 4 3 2" xfId="14182" xr:uid="{48206438-952C-4D05-834D-EDD328A09232}"/>
    <cellStyle name="20% - Accent1 3 2 4 3 3" xfId="22610" xr:uid="{D8B1C2EB-F48F-4D58-99DF-CD61CA1C118A}"/>
    <cellStyle name="20% - Accent1 3 2 4 4" xfId="9964" xr:uid="{71C44C99-1FE3-477B-B291-F286EA03EB81}"/>
    <cellStyle name="20% - Accent1 3 2 4 5" xfId="18393" xr:uid="{9165378E-6C0C-4A2D-B51C-E86ED3D586D9}"/>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40" xr:uid="{31DEB98B-F3E4-4391-882C-77DD95839103}"/>
    <cellStyle name="20% - Accent1 3 2 5 2 2 3" xfId="25168" xr:uid="{3CC398F0-88DF-438A-98F6-4E7AC45C08B9}"/>
    <cellStyle name="20% - Accent1 3 2 5 2 3" xfId="12522" xr:uid="{4F03C613-1BCC-47FC-BC5D-199E44748B36}"/>
    <cellStyle name="20% - Accent1 3 2 5 2 4" xfId="20951" xr:uid="{995E2834-C716-4309-86D7-A40416335F54}"/>
    <cellStyle name="20% - Accent1 3 2 5 3" xfId="6166" xr:uid="{00000000-0005-0000-0000-000063000000}"/>
    <cellStyle name="20% - Accent1 3 2 5 3 2" xfId="14595" xr:uid="{151B2799-35BD-4511-914A-A6022F3DF7C8}"/>
    <cellStyle name="20% - Accent1 3 2 5 3 3" xfId="23023" xr:uid="{A1344DBD-90CD-4FEB-966C-75C125A26749}"/>
    <cellStyle name="20% - Accent1 3 2 5 4" xfId="10377" xr:uid="{A006DFF0-0F6B-4B4B-9929-1C0CC5A934CE}"/>
    <cellStyle name="20% - Accent1 3 2 5 5" xfId="18806" xr:uid="{7D46F2E4-37AB-4704-899D-2B6298D77DCF}"/>
    <cellStyle name="20% - Accent1 3 2 6" xfId="2271" xr:uid="{00000000-0005-0000-0000-000064000000}"/>
    <cellStyle name="20% - Accent1 3 2 6 2" xfId="6579" xr:uid="{00000000-0005-0000-0000-000065000000}"/>
    <cellStyle name="20% - Accent1 3 2 6 2 2" xfId="15008" xr:uid="{7CFD9AD8-C1B7-42F8-AF4A-2A74CC88545E}"/>
    <cellStyle name="20% - Accent1 3 2 6 2 3" xfId="23436" xr:uid="{42507175-23DC-47B0-BCA3-EA0E668BEC68}"/>
    <cellStyle name="20% - Accent1 3 2 6 3" xfId="10790" xr:uid="{93FA9093-4987-46CF-8B10-FD26CA3BA23D}"/>
    <cellStyle name="20% - Accent1 3 2 6 4" xfId="19219" xr:uid="{EEECB62E-E70F-4C9C-B9C3-9873A32038DB}"/>
    <cellStyle name="20% - Accent1 3 2 7" xfId="4513" xr:uid="{00000000-0005-0000-0000-000066000000}"/>
    <cellStyle name="20% - Accent1 3 2 7 2" xfId="12942" xr:uid="{B6506E3F-38F7-4FEB-919F-E029D6CF0A7B}"/>
    <cellStyle name="20% - Accent1 3 2 7 3" xfId="21370" xr:uid="{F8159E2B-4ABE-41F2-8B75-785BB50877BD}"/>
    <cellStyle name="20% - Accent1 3 2 8" xfId="8724" xr:uid="{F9834F6B-1FE8-434A-B23F-94CD573812C7}"/>
    <cellStyle name="20% - Accent1 3 2 9" xfId="17153" xr:uid="{98631BAF-51DC-4A24-9DA9-974AB2D8F5F9}"/>
    <cellStyle name="20% - Accent1 3 3" xfId="576" xr:uid="{00000000-0005-0000-0000-000067000000}"/>
    <cellStyle name="20% - Accent1 3 3 2" xfId="2847" xr:uid="{00000000-0005-0000-0000-000068000000}"/>
    <cellStyle name="20% - Accent1 3 3 2 2" xfId="7071" xr:uid="{00000000-0005-0000-0000-000069000000}"/>
    <cellStyle name="20% - Accent1 3 3 2 2 2" xfId="15500" xr:uid="{A9DF41D4-C6EE-4F9A-A4AE-1F699A0D2CBF}"/>
    <cellStyle name="20% - Accent1 3 3 2 2 3" xfId="23928" xr:uid="{438ADDF5-700F-42FD-B8DA-C03AA31464BF}"/>
    <cellStyle name="20% - Accent1 3 3 2 3" xfId="11282" xr:uid="{0F78C084-D70F-473D-B84E-E0DC9F9D162A}"/>
    <cellStyle name="20% - Accent1 3 3 2 4" xfId="19711" xr:uid="{03F9D9D4-9A28-4E91-8047-17AF65607DDF}"/>
    <cellStyle name="20% - Accent1 3 3 3" xfId="4926" xr:uid="{00000000-0005-0000-0000-00006A000000}"/>
    <cellStyle name="20% - Accent1 3 3 3 2" xfId="13355" xr:uid="{FD353315-8C76-4276-B35E-E8DA030E6F44}"/>
    <cellStyle name="20% - Accent1 3 3 3 3" xfId="21783" xr:uid="{5E037F08-9B63-4739-98D5-583175359A06}"/>
    <cellStyle name="20% - Accent1 3 3 4" xfId="9137" xr:uid="{01E7FE2A-4070-4BCB-8961-9A638766917D}"/>
    <cellStyle name="20% - Accent1 3 3 5" xfId="17566" xr:uid="{B318802A-9756-448F-BE5A-4E71410DC34A}"/>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13" xr:uid="{31363329-20C8-45DB-BD07-5C1A6FE59A8E}"/>
    <cellStyle name="20% - Accent1 3 4 2 2 3" xfId="24341" xr:uid="{43C9D39F-2E5E-4928-B940-8DD1BE6CADF6}"/>
    <cellStyle name="20% - Accent1 3 4 2 3" xfId="11695" xr:uid="{A86F266A-6FA3-419B-843F-F73A1D993C96}"/>
    <cellStyle name="20% - Accent1 3 4 2 4" xfId="20124" xr:uid="{43343F69-6B8E-4458-B5AA-B29176E85B70}"/>
    <cellStyle name="20% - Accent1 3 4 3" xfId="5339" xr:uid="{00000000-0005-0000-0000-00006E000000}"/>
    <cellStyle name="20% - Accent1 3 4 3 2" xfId="13768" xr:uid="{5AF4ECA1-B3F9-4AF1-9D05-98B070051D56}"/>
    <cellStyle name="20% - Accent1 3 4 3 3" xfId="22196" xr:uid="{8BF9E38A-3256-45E8-86CC-3B6D4F7616DB}"/>
    <cellStyle name="20% - Accent1 3 4 4" xfId="9550" xr:uid="{B53CFD0D-053F-472D-BEF3-4A2DCFC03C59}"/>
    <cellStyle name="20% - Accent1 3 4 5" xfId="17979" xr:uid="{E1A4F44B-78FE-4930-A8B4-875CB078EDBA}"/>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26" xr:uid="{72C1B59D-0FE6-4A33-A340-B18953B01BDD}"/>
    <cellStyle name="20% - Accent1 3 5 2 2 3" xfId="24754" xr:uid="{95AB0B77-5937-47F2-80A5-54F457B80450}"/>
    <cellStyle name="20% - Accent1 3 5 2 3" xfId="12108" xr:uid="{D6F43268-CE99-497A-A01B-FE1289F099E1}"/>
    <cellStyle name="20% - Accent1 3 5 2 4" xfId="20537" xr:uid="{DB56EC0D-2859-434D-B9A7-936FC32B319C}"/>
    <cellStyle name="20% - Accent1 3 5 3" xfId="5752" xr:uid="{00000000-0005-0000-0000-000072000000}"/>
    <cellStyle name="20% - Accent1 3 5 3 2" xfId="14181" xr:uid="{D0B34424-8D2E-457B-AF3C-449EDD0760CC}"/>
    <cellStyle name="20% - Accent1 3 5 3 3" xfId="22609" xr:uid="{83E7A71E-B87A-4122-B592-332BF9427B7F}"/>
    <cellStyle name="20% - Accent1 3 5 4" xfId="9963" xr:uid="{8B9B572C-3687-4DB9-8A31-551E1C4AAA1A}"/>
    <cellStyle name="20% - Accent1 3 5 5" xfId="18392" xr:uid="{FCD85066-B3BB-4902-95A3-179936951CE0}"/>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9" xr:uid="{9D449580-B67E-4967-8331-C393A19FA91B}"/>
    <cellStyle name="20% - Accent1 3 6 2 2 3" xfId="25167" xr:uid="{813823C5-5AF9-46DE-99AD-FD054E296AAC}"/>
    <cellStyle name="20% - Accent1 3 6 2 3" xfId="12521" xr:uid="{773FE2F6-DEC7-4C4F-86BC-C674C186BE28}"/>
    <cellStyle name="20% - Accent1 3 6 2 4" xfId="20950" xr:uid="{E13F2C14-67ED-409E-A6A2-2922E1BE3862}"/>
    <cellStyle name="20% - Accent1 3 6 3" xfId="6165" xr:uid="{00000000-0005-0000-0000-000076000000}"/>
    <cellStyle name="20% - Accent1 3 6 3 2" xfId="14594" xr:uid="{09B81D35-337B-48FA-930D-CD99F5381DE0}"/>
    <cellStyle name="20% - Accent1 3 6 3 3" xfId="23022" xr:uid="{A7B9FB53-921C-480B-A6AB-CFBC23A6964C}"/>
    <cellStyle name="20% - Accent1 3 6 4" xfId="10376" xr:uid="{5A17501E-F71B-4486-B4FC-0052BF132332}"/>
    <cellStyle name="20% - Accent1 3 6 5" xfId="18805" xr:uid="{1F5969F9-F36E-4A73-8522-435A86D8CAD2}"/>
    <cellStyle name="20% - Accent1 3 7" xfId="2270" xr:uid="{00000000-0005-0000-0000-000077000000}"/>
    <cellStyle name="20% - Accent1 3 7 2" xfId="6578" xr:uid="{00000000-0005-0000-0000-000078000000}"/>
    <cellStyle name="20% - Accent1 3 7 2 2" xfId="15007" xr:uid="{5F974424-F0E9-42F6-AC16-BA4022B9EA43}"/>
    <cellStyle name="20% - Accent1 3 7 2 3" xfId="23435" xr:uid="{1D3768E6-F6D6-4D2E-B911-3467547B4A2D}"/>
    <cellStyle name="20% - Accent1 3 7 3" xfId="10789" xr:uid="{098E367E-EB2B-4D44-828F-DE7A5F3E957A}"/>
    <cellStyle name="20% - Accent1 3 7 4" xfId="19218" xr:uid="{003EAB5B-5808-42FE-9A3D-340476A89A08}"/>
    <cellStyle name="20% - Accent1 3 8" xfId="4512" xr:uid="{00000000-0005-0000-0000-000079000000}"/>
    <cellStyle name="20% - Accent1 3 8 2" xfId="12941" xr:uid="{D196489D-0CB5-4EE6-B63B-38AE47E5F1C1}"/>
    <cellStyle name="20% - Accent1 3 8 3" xfId="21369" xr:uid="{698B9D3B-B5C3-4328-87B8-36B588326880}"/>
    <cellStyle name="20% - Accent1 3 9" xfId="8723" xr:uid="{44DDDCE2-1F55-4167-8900-B3A0B257F75F}"/>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502" xr:uid="{E1AED95C-9D4D-4A16-B4CC-1C569CF1AAB1}"/>
    <cellStyle name="20% - Accent1 4 2 2 2 3" xfId="23930" xr:uid="{1FCE3077-5416-49D7-988F-604A891C6A64}"/>
    <cellStyle name="20% - Accent1 4 2 2 3" xfId="11284" xr:uid="{656A9288-F30E-491F-AE21-C8038E758D16}"/>
    <cellStyle name="20% - Accent1 4 2 2 4" xfId="19713" xr:uid="{3CECBFD7-D550-49A1-8F85-5BA5B61B5B67}"/>
    <cellStyle name="20% - Accent1 4 2 3" xfId="4928" xr:uid="{00000000-0005-0000-0000-00007E000000}"/>
    <cellStyle name="20% - Accent1 4 2 3 2" xfId="13357" xr:uid="{EF7FDF61-CC78-46B4-9B80-FDECC1BB0090}"/>
    <cellStyle name="20% - Accent1 4 2 3 3" xfId="21785" xr:uid="{2E77BEC3-BE43-4194-8AE8-8987B074219E}"/>
    <cellStyle name="20% - Accent1 4 2 4" xfId="9139" xr:uid="{4AE1B31E-4C7F-4C64-97CA-18C1487A295B}"/>
    <cellStyle name="20% - Accent1 4 2 5" xfId="17568" xr:uid="{9E9EA44B-A4BC-4630-AF0A-AE0E40820F2A}"/>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15" xr:uid="{8BE362F8-0C3B-4C69-A18A-8DE7038CAC0C}"/>
    <cellStyle name="20% - Accent1 4 3 2 2 3" xfId="24343" xr:uid="{9689F7C7-06C4-4C89-B9BA-0D9F7B96D910}"/>
    <cellStyle name="20% - Accent1 4 3 2 3" xfId="11697" xr:uid="{1AD2E140-44C6-4EC7-8C89-E60A530F493E}"/>
    <cellStyle name="20% - Accent1 4 3 2 4" xfId="20126" xr:uid="{E6B1560E-490E-4B20-995A-6DF83AF04928}"/>
    <cellStyle name="20% - Accent1 4 3 3" xfId="5341" xr:uid="{00000000-0005-0000-0000-000082000000}"/>
    <cellStyle name="20% - Accent1 4 3 3 2" xfId="13770" xr:uid="{A6CD7B46-6486-44ED-B7B5-73ACDDE4751E}"/>
    <cellStyle name="20% - Accent1 4 3 3 3" xfId="22198" xr:uid="{DCDA6E5F-46F2-4560-AFA2-B0F4B8D13AAA}"/>
    <cellStyle name="20% - Accent1 4 3 4" xfId="9552" xr:uid="{7ABEBA53-84AA-4F04-B0B9-7C49DE654A34}"/>
    <cellStyle name="20% - Accent1 4 3 5" xfId="17981" xr:uid="{7F28F994-3C1A-4347-B563-3CFA95E73D7A}"/>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8" xr:uid="{F525CC5D-08ED-4C3D-B91C-206A1CEE7D65}"/>
    <cellStyle name="20% - Accent1 4 4 2 2 3" xfId="24756" xr:uid="{46FEE453-9CE6-4844-9336-2568303B27FB}"/>
    <cellStyle name="20% - Accent1 4 4 2 3" xfId="12110" xr:uid="{8EEFA523-C012-4956-98AD-3CFE6128959C}"/>
    <cellStyle name="20% - Accent1 4 4 2 4" xfId="20539" xr:uid="{15D6C97F-34C7-4C3A-9A98-70BCCC23A45E}"/>
    <cellStyle name="20% - Accent1 4 4 3" xfId="5754" xr:uid="{00000000-0005-0000-0000-000086000000}"/>
    <cellStyle name="20% - Accent1 4 4 3 2" xfId="14183" xr:uid="{286CD1FB-6E3A-4182-B44F-A5D3CACECA83}"/>
    <cellStyle name="20% - Accent1 4 4 3 3" xfId="22611" xr:uid="{478C0D35-E341-405C-BE20-94DD0C87B807}"/>
    <cellStyle name="20% - Accent1 4 4 4" xfId="9965" xr:uid="{173C1F99-6EA8-49C0-B23E-F933B246A7AA}"/>
    <cellStyle name="20% - Accent1 4 4 5" xfId="18394" xr:uid="{29ABADDD-C9EE-4842-8636-DBD0D2754841}"/>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41" xr:uid="{7FEBED21-DAB4-4CA8-B655-9A488D459E6E}"/>
    <cellStyle name="20% - Accent1 4 5 2 2 3" xfId="25169" xr:uid="{489C260B-F2A9-4A95-950D-687983DFA6DA}"/>
    <cellStyle name="20% - Accent1 4 5 2 3" xfId="12523" xr:uid="{3327BCB7-3082-4381-8601-B9A3A443C0F7}"/>
    <cellStyle name="20% - Accent1 4 5 2 4" xfId="20952" xr:uid="{D88FD15C-ADFE-483B-8400-FEDC97AB0AE4}"/>
    <cellStyle name="20% - Accent1 4 5 3" xfId="6167" xr:uid="{00000000-0005-0000-0000-00008A000000}"/>
    <cellStyle name="20% - Accent1 4 5 3 2" xfId="14596" xr:uid="{5341AD32-51FE-4142-B5A7-29E959F0DD42}"/>
    <cellStyle name="20% - Accent1 4 5 3 3" xfId="23024" xr:uid="{3A60FCFE-8FF7-4DEA-B1B4-A76CA0AF35CF}"/>
    <cellStyle name="20% - Accent1 4 5 4" xfId="10378" xr:uid="{922FE55F-44C6-427A-A327-DB44BDE18CB6}"/>
    <cellStyle name="20% - Accent1 4 5 5" xfId="18807" xr:uid="{BC98CADA-0A63-474C-A47E-31756AD80EDB}"/>
    <cellStyle name="20% - Accent1 4 6" xfId="2272" xr:uid="{00000000-0005-0000-0000-00008B000000}"/>
    <cellStyle name="20% - Accent1 4 6 2" xfId="6580" xr:uid="{00000000-0005-0000-0000-00008C000000}"/>
    <cellStyle name="20% - Accent1 4 6 2 2" xfId="15009" xr:uid="{C2551B5F-C0BD-475C-BC5C-44FED61AA259}"/>
    <cellStyle name="20% - Accent1 4 6 2 3" xfId="23437" xr:uid="{5AE2AE81-2262-4662-BD90-DD75D5721501}"/>
    <cellStyle name="20% - Accent1 4 6 3" xfId="10791" xr:uid="{A6F8B73E-0115-4DED-AB7B-7303F1F5CCE4}"/>
    <cellStyle name="20% - Accent1 4 6 4" xfId="19220" xr:uid="{3B441CDC-DF20-4A69-9789-F2186FABECD9}"/>
    <cellStyle name="20% - Accent1 4 7" xfId="4514" xr:uid="{00000000-0005-0000-0000-00008D000000}"/>
    <cellStyle name="20% - Accent1 4 7 2" xfId="12943" xr:uid="{AE98DF24-A6A4-4BA2-82B4-5C28BAA8D57A}"/>
    <cellStyle name="20% - Accent1 4 7 3" xfId="21371" xr:uid="{42148907-3B3C-4CF1-B6F7-68C62E6D3460}"/>
    <cellStyle name="20% - Accent1 4 8" xfId="8725" xr:uid="{0DC832B3-C860-4D84-A077-7F4ABF35DC84}"/>
    <cellStyle name="20% - Accent1 4 9" xfId="17154" xr:uid="{C354B07D-DF0B-4343-9526-03CC67B35C80}"/>
    <cellStyle name="20% - Accent1 5" xfId="571" xr:uid="{00000000-0005-0000-0000-00008E000000}"/>
    <cellStyle name="20% - Accent1 5 2" xfId="2842" xr:uid="{00000000-0005-0000-0000-00008F000000}"/>
    <cellStyle name="20% - Accent1 5 2 2" xfId="7066" xr:uid="{00000000-0005-0000-0000-000090000000}"/>
    <cellStyle name="20% - Accent1 5 2 2 2" xfId="15495" xr:uid="{8F752EA9-D0BD-4A8B-970D-76F45DCBF834}"/>
    <cellStyle name="20% - Accent1 5 2 2 3" xfId="23923" xr:uid="{1305E20E-015A-444A-AE88-5A788A846801}"/>
    <cellStyle name="20% - Accent1 5 2 3" xfId="11277" xr:uid="{74DBC7FF-7EE7-4588-A5AC-A4F4AB1D4832}"/>
    <cellStyle name="20% - Accent1 5 2 4" xfId="19706" xr:uid="{078D8B9E-EC12-4A50-9067-29670EB7DE7A}"/>
    <cellStyle name="20% - Accent1 5 3" xfId="4921" xr:uid="{00000000-0005-0000-0000-000091000000}"/>
    <cellStyle name="20% - Accent1 5 3 2" xfId="13350" xr:uid="{AA87300C-A323-47CA-9513-6482AE1D6631}"/>
    <cellStyle name="20% - Accent1 5 3 3" xfId="21778" xr:uid="{4F19D4B1-95B7-49A4-82AD-F801A95F39F6}"/>
    <cellStyle name="20% - Accent1 5 4" xfId="9132" xr:uid="{B1612BFC-23EC-492D-806D-594E70E49624}"/>
    <cellStyle name="20% - Accent1 5 5" xfId="17561" xr:uid="{B98F97D0-364A-4B6A-8731-15CB19479842}"/>
    <cellStyle name="20% - Accent1 6" xfId="1024" xr:uid="{00000000-0005-0000-0000-000092000000}"/>
    <cellStyle name="20% - Accent1 6 2" xfId="3255" xr:uid="{00000000-0005-0000-0000-000093000000}"/>
    <cellStyle name="20% - Accent1 6 2 2" xfId="7479" xr:uid="{00000000-0005-0000-0000-000094000000}"/>
    <cellStyle name="20% - Accent1 6 2 2 2" xfId="15908" xr:uid="{3AFD4689-DD17-4E3D-AAE7-B9C4E9BD4128}"/>
    <cellStyle name="20% - Accent1 6 2 2 3" xfId="24336" xr:uid="{1B2F577D-8365-4FCD-86FE-047529A32306}"/>
    <cellStyle name="20% - Accent1 6 2 3" xfId="11690" xr:uid="{594DC326-FFEB-41F8-A6D8-ECD98DE3797C}"/>
    <cellStyle name="20% - Accent1 6 2 4" xfId="20119" xr:uid="{E72A7742-6935-4EA8-9FDF-5F1F69FD3CF1}"/>
    <cellStyle name="20% - Accent1 6 3" xfId="5334" xr:uid="{00000000-0005-0000-0000-000095000000}"/>
    <cellStyle name="20% - Accent1 6 3 2" xfId="13763" xr:uid="{8EB2995D-9B10-4BEE-97DF-A930831E77CD}"/>
    <cellStyle name="20% - Accent1 6 3 3" xfId="22191" xr:uid="{99806603-0ECA-4A93-A25D-DB277136A58B}"/>
    <cellStyle name="20% - Accent1 6 4" xfId="9545" xr:uid="{5D64C6CB-9622-4AA2-B905-5E9BC98505A2}"/>
    <cellStyle name="20% - Accent1 6 5" xfId="17974" xr:uid="{A6B9B0DE-EDBA-4AC1-9990-5C6B6CAC7FE6}"/>
    <cellStyle name="20% - Accent1 7" xfId="1438" xr:uid="{00000000-0005-0000-0000-000096000000}"/>
    <cellStyle name="20% - Accent1 7 2" xfId="3668" xr:uid="{00000000-0005-0000-0000-000097000000}"/>
    <cellStyle name="20% - Accent1 7 2 2" xfId="7892" xr:uid="{00000000-0005-0000-0000-000098000000}"/>
    <cellStyle name="20% - Accent1 7 2 2 2" xfId="16321" xr:uid="{A01E2261-9A6A-4350-8A06-CC65CC769EE9}"/>
    <cellStyle name="20% - Accent1 7 2 2 3" xfId="24749" xr:uid="{FED83DD1-CA77-4090-837C-C2E6CFBC5882}"/>
    <cellStyle name="20% - Accent1 7 2 3" xfId="12103" xr:uid="{A257DAEC-6CF0-4704-AADC-242A3560A931}"/>
    <cellStyle name="20% - Accent1 7 2 4" xfId="20532" xr:uid="{855717E9-EC8A-4C79-9396-CD804D286078}"/>
    <cellStyle name="20% - Accent1 7 3" xfId="5747" xr:uid="{00000000-0005-0000-0000-000099000000}"/>
    <cellStyle name="20% - Accent1 7 3 2" xfId="14176" xr:uid="{62CACAC3-9BA5-48D8-BAA2-4B8DF6C2FC87}"/>
    <cellStyle name="20% - Accent1 7 3 3" xfId="22604" xr:uid="{F13A1746-F651-4D2E-B255-9E3B4DFF0671}"/>
    <cellStyle name="20% - Accent1 7 4" xfId="9958" xr:uid="{7652ADDE-5827-4FF8-9A2E-59CD9A555F3F}"/>
    <cellStyle name="20% - Accent1 7 5" xfId="18387" xr:uid="{3A3F3E43-B5DB-40E1-BC54-676C69F1AFDD}"/>
    <cellStyle name="20% - Accent1 8" xfId="1852" xr:uid="{00000000-0005-0000-0000-00009A000000}"/>
    <cellStyle name="20% - Accent1 8 2" xfId="4081" xr:uid="{00000000-0005-0000-0000-00009B000000}"/>
    <cellStyle name="20% - Accent1 8 2 2" xfId="8305" xr:uid="{00000000-0005-0000-0000-00009C000000}"/>
    <cellStyle name="20% - Accent1 8 2 2 2" xfId="16734" xr:uid="{3CC1C207-60BA-47A7-913C-C17B146233FA}"/>
    <cellStyle name="20% - Accent1 8 2 2 3" xfId="25162" xr:uid="{040757B1-E4A5-4AB9-93C7-5473EF40F53A}"/>
    <cellStyle name="20% - Accent1 8 2 3" xfId="12516" xr:uid="{7FC01492-49DC-4D91-872C-7922147A74CB}"/>
    <cellStyle name="20% - Accent1 8 2 4" xfId="20945" xr:uid="{A9998AB1-81BE-4BFF-BB55-BBCB947A6146}"/>
    <cellStyle name="20% - Accent1 8 3" xfId="6160" xr:uid="{00000000-0005-0000-0000-00009D000000}"/>
    <cellStyle name="20% - Accent1 8 3 2" xfId="14589" xr:uid="{7C256D6A-2516-4A0F-8F2F-F8B14673BCD3}"/>
    <cellStyle name="20% - Accent1 8 3 3" xfId="23017" xr:uid="{5BFB77B6-5678-4F19-B104-19BF73CB4404}"/>
    <cellStyle name="20% - Accent1 8 4" xfId="10371" xr:uid="{961303EC-D08B-4C74-AB11-7CF998DEF6A6}"/>
    <cellStyle name="20% - Accent1 8 5" xfId="18800" xr:uid="{CE008B73-976E-49AA-8484-520E0768D913}"/>
    <cellStyle name="20% - Accent1 9" xfId="2265" xr:uid="{00000000-0005-0000-0000-00009E000000}"/>
    <cellStyle name="20% - Accent1 9 2" xfId="6573" xr:uid="{00000000-0005-0000-0000-00009F000000}"/>
    <cellStyle name="20% - Accent1 9 2 2" xfId="15002" xr:uid="{8DB423E2-8045-43BF-BF49-AB6DF484B90E}"/>
    <cellStyle name="20% - Accent1 9 2 3" xfId="23430" xr:uid="{6E0C5D42-2A1C-4D2B-AD85-697B8C1C6342}"/>
    <cellStyle name="20% - Accent1 9 3" xfId="10784" xr:uid="{675B58FB-5083-4986-BF8A-FE5B898C090E}"/>
    <cellStyle name="20% - Accent1 9 4" xfId="19213" xr:uid="{884185A4-4F62-41FE-B3B9-F45883892B57}"/>
    <cellStyle name="20% - Accent2" xfId="9" builtinId="34" customBuiltin="1"/>
    <cellStyle name="20% - Accent2 10" xfId="4515" xr:uid="{00000000-0005-0000-0000-0000A1000000}"/>
    <cellStyle name="20% - Accent2 10 2" xfId="12944" xr:uid="{9DAB38BA-5256-4A11-8449-FE0375776EF9}"/>
    <cellStyle name="20% - Accent2 10 3" xfId="21372" xr:uid="{FA0CAC32-3C14-4D5E-AFFD-E5A837E73279}"/>
    <cellStyle name="20% - Accent2 11" xfId="8726" xr:uid="{59F3F151-8934-4D30-A9B3-67F0F798ECC7}"/>
    <cellStyle name="20% - Accent2 12" xfId="17155" xr:uid="{D09F90B1-8081-44E0-9480-AB4A38F43896}"/>
    <cellStyle name="20% - Accent2 2" xfId="10" xr:uid="{00000000-0005-0000-0000-0000A2000000}"/>
    <cellStyle name="20% - Accent2 2 10" xfId="8727" xr:uid="{6BB91C42-2AEA-44DB-807A-0F76663486CB}"/>
    <cellStyle name="20% - Accent2 2 11" xfId="17156" xr:uid="{BD8AE7B9-3F7D-437C-88BC-E9CF60ABBCD6}"/>
    <cellStyle name="20% - Accent2 2 2" xfId="11" xr:uid="{00000000-0005-0000-0000-0000A3000000}"/>
    <cellStyle name="20% - Accent2 2 2 10" xfId="17157" xr:uid="{8C19E13E-CC44-48CC-A413-010AA636C025}"/>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506" xr:uid="{98D11F13-2A49-4B2F-9F97-9787964D59C6}"/>
    <cellStyle name="20% - Accent2 2 2 2 2 2 2 3" xfId="23934" xr:uid="{09601EE3-CE49-4BFF-AEAF-599C6B9989CE}"/>
    <cellStyle name="20% - Accent2 2 2 2 2 2 3" xfId="11288" xr:uid="{C05DAB8A-E744-43FA-9FCD-BE103695F4D7}"/>
    <cellStyle name="20% - Accent2 2 2 2 2 2 4" xfId="19717" xr:uid="{025F3CE7-01D3-43C4-BBD0-59E294E8D4A6}"/>
    <cellStyle name="20% - Accent2 2 2 2 2 3" xfId="4932" xr:uid="{00000000-0005-0000-0000-0000A8000000}"/>
    <cellStyle name="20% - Accent2 2 2 2 2 3 2" xfId="13361" xr:uid="{7923DC58-9317-40F5-9851-C875F282F376}"/>
    <cellStyle name="20% - Accent2 2 2 2 2 3 3" xfId="21789" xr:uid="{48D5981F-75BA-4245-B432-57AB7F320037}"/>
    <cellStyle name="20% - Accent2 2 2 2 2 4" xfId="9143" xr:uid="{2D9CEA88-F3F0-4134-84C2-192DC16AC29F}"/>
    <cellStyle name="20% - Accent2 2 2 2 2 5" xfId="17572" xr:uid="{3D75EF2A-CD38-4648-943A-D446E6C709D7}"/>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9" xr:uid="{A4DF2773-5B86-494F-A402-B7C9B5F2D9C1}"/>
    <cellStyle name="20% - Accent2 2 2 2 3 2 2 3" xfId="24347" xr:uid="{B08D6BAA-B36F-45DA-A383-FD3984DB0B25}"/>
    <cellStyle name="20% - Accent2 2 2 2 3 2 3" xfId="11701" xr:uid="{DD613DE5-79B6-4245-AD92-E224A5CAA4D7}"/>
    <cellStyle name="20% - Accent2 2 2 2 3 2 4" xfId="20130" xr:uid="{C1FBAD3E-3F5F-4958-90A9-E6E9D56AD7FC}"/>
    <cellStyle name="20% - Accent2 2 2 2 3 3" xfId="5345" xr:uid="{00000000-0005-0000-0000-0000AC000000}"/>
    <cellStyle name="20% - Accent2 2 2 2 3 3 2" xfId="13774" xr:uid="{EFA7DBF8-E5AB-41CD-8115-5A71C6670CE1}"/>
    <cellStyle name="20% - Accent2 2 2 2 3 3 3" xfId="22202" xr:uid="{24CB5FE0-739C-43D0-844F-6B6CF3A0C475}"/>
    <cellStyle name="20% - Accent2 2 2 2 3 4" xfId="9556" xr:uid="{6CCCF07B-8DAE-4D66-B207-871E79650ACA}"/>
    <cellStyle name="20% - Accent2 2 2 2 3 5" xfId="17985" xr:uid="{E9F59EA4-25DD-4A43-9D4C-9675E401A271}"/>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32" xr:uid="{3E0C89FE-B590-4A05-8A50-D13D6A151ED5}"/>
    <cellStyle name="20% - Accent2 2 2 2 4 2 2 3" xfId="24760" xr:uid="{2B0A438F-8709-46B0-91AD-40F6E6158F84}"/>
    <cellStyle name="20% - Accent2 2 2 2 4 2 3" xfId="12114" xr:uid="{E6746767-DDCD-46B7-AC43-8D8F03D73526}"/>
    <cellStyle name="20% - Accent2 2 2 2 4 2 4" xfId="20543" xr:uid="{E9FB0009-FBB0-43B5-B03B-BC88D3986FCD}"/>
    <cellStyle name="20% - Accent2 2 2 2 4 3" xfId="5758" xr:uid="{00000000-0005-0000-0000-0000B0000000}"/>
    <cellStyle name="20% - Accent2 2 2 2 4 3 2" xfId="14187" xr:uid="{1951F4D5-AC98-4B25-B5BB-1F1C2E0EFEF7}"/>
    <cellStyle name="20% - Accent2 2 2 2 4 3 3" xfId="22615" xr:uid="{1EC0F938-E34F-4708-9623-51B8544B013D}"/>
    <cellStyle name="20% - Accent2 2 2 2 4 4" xfId="9969" xr:uid="{E1041BC5-E765-41EA-AF10-AAF2B0F7C1CA}"/>
    <cellStyle name="20% - Accent2 2 2 2 4 5" xfId="18398" xr:uid="{E964C559-CB67-48E4-A48C-22F072D5E601}"/>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45" xr:uid="{5365FDD8-31E6-42A2-828B-DDF8EF3ABCCB}"/>
    <cellStyle name="20% - Accent2 2 2 2 5 2 2 3" xfId="25173" xr:uid="{C0F2EF6E-2298-47CB-88C6-76387F653144}"/>
    <cellStyle name="20% - Accent2 2 2 2 5 2 3" xfId="12527" xr:uid="{B351E25C-DC0F-44DA-84F3-D3ABAE5732CF}"/>
    <cellStyle name="20% - Accent2 2 2 2 5 2 4" xfId="20956" xr:uid="{1CB15046-DB1E-42FC-8240-24ED47488102}"/>
    <cellStyle name="20% - Accent2 2 2 2 5 3" xfId="6171" xr:uid="{00000000-0005-0000-0000-0000B4000000}"/>
    <cellStyle name="20% - Accent2 2 2 2 5 3 2" xfId="14600" xr:uid="{F4168161-2069-49FD-B70B-558CAFC5DD8D}"/>
    <cellStyle name="20% - Accent2 2 2 2 5 3 3" xfId="23028" xr:uid="{5A1745DA-1568-4D36-A966-8ED66917A7A4}"/>
    <cellStyle name="20% - Accent2 2 2 2 5 4" xfId="10382" xr:uid="{D88DC493-AFCA-4824-9372-81965EAB70F8}"/>
    <cellStyle name="20% - Accent2 2 2 2 5 5" xfId="18811" xr:uid="{B950412A-3CA7-4109-B856-ACD2AEDFFC17}"/>
    <cellStyle name="20% - Accent2 2 2 2 6" xfId="2276" xr:uid="{00000000-0005-0000-0000-0000B5000000}"/>
    <cellStyle name="20% - Accent2 2 2 2 6 2" xfId="6584" xr:uid="{00000000-0005-0000-0000-0000B6000000}"/>
    <cellStyle name="20% - Accent2 2 2 2 6 2 2" xfId="15013" xr:uid="{D5E61E93-E31A-498B-B4E7-9791AB487310}"/>
    <cellStyle name="20% - Accent2 2 2 2 6 2 3" xfId="23441" xr:uid="{51445A2B-1DD9-4BB9-B96D-8492E036E7A2}"/>
    <cellStyle name="20% - Accent2 2 2 2 6 3" xfId="10795" xr:uid="{52D2DBA3-E0CB-4D2C-9DC0-B176249CD918}"/>
    <cellStyle name="20% - Accent2 2 2 2 6 4" xfId="19224" xr:uid="{2FA02EFD-C29E-4E1B-BF83-AAE3DA6CEB0F}"/>
    <cellStyle name="20% - Accent2 2 2 2 7" xfId="4518" xr:uid="{00000000-0005-0000-0000-0000B7000000}"/>
    <cellStyle name="20% - Accent2 2 2 2 7 2" xfId="12947" xr:uid="{F6FE8BF1-992B-4B0D-8984-43DC6D46D58A}"/>
    <cellStyle name="20% - Accent2 2 2 2 7 3" xfId="21375" xr:uid="{CEBC51D7-F1DC-41A4-A487-ACA8AEAEF14F}"/>
    <cellStyle name="20% - Accent2 2 2 2 8" xfId="8729" xr:uid="{C7947175-561E-4695-A575-24928C18934A}"/>
    <cellStyle name="20% - Accent2 2 2 2 9" xfId="17158" xr:uid="{7924A0D7-E7D3-49B9-97B9-1C775C17DF6D}"/>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505" xr:uid="{81122666-EA5F-4A30-8101-F2D1E3647526}"/>
    <cellStyle name="20% - Accent2 2 2 3 2 2 3" xfId="23933" xr:uid="{9B4B9F37-F0DE-4CF0-B0DF-329A642FF3FE}"/>
    <cellStyle name="20% - Accent2 2 2 3 2 3" xfId="11287" xr:uid="{69315999-CF59-4CF8-AB3B-7EAE7E7A4148}"/>
    <cellStyle name="20% - Accent2 2 2 3 2 4" xfId="19716" xr:uid="{6BD39B8B-0E36-4ABD-BB11-41A1D2CC10A0}"/>
    <cellStyle name="20% - Accent2 2 2 3 3" xfId="4931" xr:uid="{00000000-0005-0000-0000-0000BB000000}"/>
    <cellStyle name="20% - Accent2 2 2 3 3 2" xfId="13360" xr:uid="{A23B6052-B7E9-4F6D-A057-BEEAF10C2CE3}"/>
    <cellStyle name="20% - Accent2 2 2 3 3 3" xfId="21788" xr:uid="{D596FD08-64A0-4CFB-8136-DBD473344260}"/>
    <cellStyle name="20% - Accent2 2 2 3 4" xfId="9142" xr:uid="{CA43540E-8B40-43B0-B296-75E7F397FC9E}"/>
    <cellStyle name="20% - Accent2 2 2 3 5" xfId="17571" xr:uid="{AC61B2EB-6C05-479A-AE0C-AB98EBE3D5FB}"/>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8" xr:uid="{416C65A5-D58C-4470-B444-DD7486D78EEC}"/>
    <cellStyle name="20% - Accent2 2 2 4 2 2 3" xfId="24346" xr:uid="{3862E2E4-778E-4DDE-8D55-C75837BE4342}"/>
    <cellStyle name="20% - Accent2 2 2 4 2 3" xfId="11700" xr:uid="{DAE01ABB-1942-4B6A-BBB0-BA50453374D8}"/>
    <cellStyle name="20% - Accent2 2 2 4 2 4" xfId="20129" xr:uid="{61B601D1-1C5C-4025-8027-4CB5E0F35665}"/>
    <cellStyle name="20% - Accent2 2 2 4 3" xfId="5344" xr:uid="{00000000-0005-0000-0000-0000BF000000}"/>
    <cellStyle name="20% - Accent2 2 2 4 3 2" xfId="13773" xr:uid="{33A361D4-4049-46AA-8C5D-EB465CB13855}"/>
    <cellStyle name="20% - Accent2 2 2 4 3 3" xfId="22201" xr:uid="{C4C1D9E1-5720-48D3-9913-F8ECF75FD532}"/>
    <cellStyle name="20% - Accent2 2 2 4 4" xfId="9555" xr:uid="{A5DEA52D-7C22-4E59-A5F2-16B838116BDB}"/>
    <cellStyle name="20% - Accent2 2 2 4 5" xfId="17984" xr:uid="{F81092CE-F9D2-46B1-95A9-00EA477E302F}"/>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31" xr:uid="{509CD966-491A-4EC8-8C4F-0CE95BAC8099}"/>
    <cellStyle name="20% - Accent2 2 2 5 2 2 3" xfId="24759" xr:uid="{3BBB3EA3-723E-419D-9F19-8CE826136811}"/>
    <cellStyle name="20% - Accent2 2 2 5 2 3" xfId="12113" xr:uid="{C0909585-25D7-4C18-B89E-58808306C5FC}"/>
    <cellStyle name="20% - Accent2 2 2 5 2 4" xfId="20542" xr:uid="{652AC5B2-2840-4AA1-8393-35540F495759}"/>
    <cellStyle name="20% - Accent2 2 2 5 3" xfId="5757" xr:uid="{00000000-0005-0000-0000-0000C3000000}"/>
    <cellStyle name="20% - Accent2 2 2 5 3 2" xfId="14186" xr:uid="{0181A015-1E8D-4358-9A86-17957038A678}"/>
    <cellStyle name="20% - Accent2 2 2 5 3 3" xfId="22614" xr:uid="{4E4AA15F-BCAA-405E-B8A5-97A4D4CAFB81}"/>
    <cellStyle name="20% - Accent2 2 2 5 4" xfId="9968" xr:uid="{2C3C08A2-BA7F-446B-8EFB-BAEAE01360A2}"/>
    <cellStyle name="20% - Accent2 2 2 5 5" xfId="18397" xr:uid="{733E06C7-1F92-440D-B2E2-836BA72D6E73}"/>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44" xr:uid="{E8A9D69D-8C85-4CE8-A72E-AF0BC14F40B9}"/>
    <cellStyle name="20% - Accent2 2 2 6 2 2 3" xfId="25172" xr:uid="{9700208A-DB98-48B8-971C-9CCD5138F736}"/>
    <cellStyle name="20% - Accent2 2 2 6 2 3" xfId="12526" xr:uid="{568788BC-119C-4132-B245-F27EEA2BB3FD}"/>
    <cellStyle name="20% - Accent2 2 2 6 2 4" xfId="20955" xr:uid="{39E7F554-2055-486B-A28A-4298FF28CF2D}"/>
    <cellStyle name="20% - Accent2 2 2 6 3" xfId="6170" xr:uid="{00000000-0005-0000-0000-0000C7000000}"/>
    <cellStyle name="20% - Accent2 2 2 6 3 2" xfId="14599" xr:uid="{A7EA2303-2BBC-456D-BD8F-E32AC955D3C7}"/>
    <cellStyle name="20% - Accent2 2 2 6 3 3" xfId="23027" xr:uid="{FE93B387-9835-4058-B7E8-C0D2AFECBE10}"/>
    <cellStyle name="20% - Accent2 2 2 6 4" xfId="10381" xr:uid="{7F42FC56-7689-44F7-8C01-5B083FD68CAA}"/>
    <cellStyle name="20% - Accent2 2 2 6 5" xfId="18810" xr:uid="{2B1FFF2A-0736-453E-B4D3-7BCA4DED55DD}"/>
    <cellStyle name="20% - Accent2 2 2 7" xfId="2275" xr:uid="{00000000-0005-0000-0000-0000C8000000}"/>
    <cellStyle name="20% - Accent2 2 2 7 2" xfId="6583" xr:uid="{00000000-0005-0000-0000-0000C9000000}"/>
    <cellStyle name="20% - Accent2 2 2 7 2 2" xfId="15012" xr:uid="{C77FB682-9826-48B8-8367-AF5AE0FBBFF9}"/>
    <cellStyle name="20% - Accent2 2 2 7 2 3" xfId="23440" xr:uid="{2B90987E-8BD5-4B92-991D-26A0E5147AC1}"/>
    <cellStyle name="20% - Accent2 2 2 7 3" xfId="10794" xr:uid="{0EE435A2-B917-414F-B733-9CE8416A99AC}"/>
    <cellStyle name="20% - Accent2 2 2 7 4" xfId="19223" xr:uid="{09D7428D-8944-484C-A5A8-589299E5EF10}"/>
    <cellStyle name="20% - Accent2 2 2 8" xfId="4517" xr:uid="{00000000-0005-0000-0000-0000CA000000}"/>
    <cellStyle name="20% - Accent2 2 2 8 2" xfId="12946" xr:uid="{ADEC6396-D2CB-4CC1-AD4A-E18072F0E723}"/>
    <cellStyle name="20% - Accent2 2 2 8 3" xfId="21374" xr:uid="{82BF37DE-0763-4E64-9992-74705E5B612C}"/>
    <cellStyle name="20% - Accent2 2 2 9" xfId="8728" xr:uid="{55FF43DB-5963-4C84-BE57-D717758FBC27}"/>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7" xr:uid="{68EF0391-4C96-47F5-9F07-E6BF5D8F1B93}"/>
    <cellStyle name="20% - Accent2 2 3 2 2 2 3" xfId="23935" xr:uid="{E15C95D0-F690-4DC9-8A58-D55A0C584200}"/>
    <cellStyle name="20% - Accent2 2 3 2 2 3" xfId="11289" xr:uid="{F063E50A-2C0D-4D17-B52F-CC6ACA7018A7}"/>
    <cellStyle name="20% - Accent2 2 3 2 2 4" xfId="19718" xr:uid="{912623CF-D854-425E-988B-DFB578A78C0F}"/>
    <cellStyle name="20% - Accent2 2 3 2 3" xfId="4933" xr:uid="{00000000-0005-0000-0000-0000CF000000}"/>
    <cellStyle name="20% - Accent2 2 3 2 3 2" xfId="13362" xr:uid="{2AA4C8B6-8AA8-40AD-BCAE-7CF2822AB4A0}"/>
    <cellStyle name="20% - Accent2 2 3 2 3 3" xfId="21790" xr:uid="{EB9ACEFC-88B7-4B9E-B250-025E660D03CC}"/>
    <cellStyle name="20% - Accent2 2 3 2 4" xfId="9144" xr:uid="{BC59DE28-CC97-4E42-AA16-CA6E99C48EB7}"/>
    <cellStyle name="20% - Accent2 2 3 2 5" xfId="17573" xr:uid="{ACDD749F-9B8D-4D72-8C68-FB97EB9EB4AA}"/>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20" xr:uid="{D719E79E-0B67-4EC0-B663-F760F46576D1}"/>
    <cellStyle name="20% - Accent2 2 3 3 2 2 3" xfId="24348" xr:uid="{9AE0E8BF-859F-40D2-9039-A27F68600D12}"/>
    <cellStyle name="20% - Accent2 2 3 3 2 3" xfId="11702" xr:uid="{84B6EC96-7787-4E81-AF70-63E619D12864}"/>
    <cellStyle name="20% - Accent2 2 3 3 2 4" xfId="20131" xr:uid="{E0AB9AC1-BAF0-4A9F-88C9-6DBE50F92AC9}"/>
    <cellStyle name="20% - Accent2 2 3 3 3" xfId="5346" xr:uid="{00000000-0005-0000-0000-0000D3000000}"/>
    <cellStyle name="20% - Accent2 2 3 3 3 2" xfId="13775" xr:uid="{8722C8D9-79D2-4532-B7FE-4C3898CFBB56}"/>
    <cellStyle name="20% - Accent2 2 3 3 3 3" xfId="22203" xr:uid="{A428851C-66B6-4E99-93D8-B515ADDA19F7}"/>
    <cellStyle name="20% - Accent2 2 3 3 4" xfId="9557" xr:uid="{4BEEA0E9-7112-4A59-8AA6-692BB60A4951}"/>
    <cellStyle name="20% - Accent2 2 3 3 5" xfId="17986" xr:uid="{470D0783-CEF4-4475-9185-2341C62F03B1}"/>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33" xr:uid="{7DB5D880-DA80-44A5-AB21-9BE3ED7BD166}"/>
    <cellStyle name="20% - Accent2 2 3 4 2 2 3" xfId="24761" xr:uid="{8905E60F-412B-4759-8773-CE62E0DD27DA}"/>
    <cellStyle name="20% - Accent2 2 3 4 2 3" xfId="12115" xr:uid="{CBFE0A97-C201-4813-9277-5BD707922FD2}"/>
    <cellStyle name="20% - Accent2 2 3 4 2 4" xfId="20544" xr:uid="{43E51CBD-0D77-47FF-B8E4-65078A366DD7}"/>
    <cellStyle name="20% - Accent2 2 3 4 3" xfId="5759" xr:uid="{00000000-0005-0000-0000-0000D7000000}"/>
    <cellStyle name="20% - Accent2 2 3 4 3 2" xfId="14188" xr:uid="{A2B40536-514D-4772-9D0E-F0AF006EE4E8}"/>
    <cellStyle name="20% - Accent2 2 3 4 3 3" xfId="22616" xr:uid="{E226D975-7B02-49FC-98B3-E6EBC99A3930}"/>
    <cellStyle name="20% - Accent2 2 3 4 4" xfId="9970" xr:uid="{D308CD34-CBB7-46B7-A5DC-2D7C91822B3B}"/>
    <cellStyle name="20% - Accent2 2 3 4 5" xfId="18399" xr:uid="{E8EC3A71-77FA-4403-93F0-0F3DD044E51F}"/>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46" xr:uid="{A4C2C049-A9EC-4DEF-950B-2A4D288A2671}"/>
    <cellStyle name="20% - Accent2 2 3 5 2 2 3" xfId="25174" xr:uid="{D347A619-6A57-4A5B-8780-395175A29472}"/>
    <cellStyle name="20% - Accent2 2 3 5 2 3" xfId="12528" xr:uid="{65C4A55E-7C60-406F-9666-DCC672AAAA89}"/>
    <cellStyle name="20% - Accent2 2 3 5 2 4" xfId="20957" xr:uid="{9807AFA2-518A-4F40-AA7F-602F61BF362B}"/>
    <cellStyle name="20% - Accent2 2 3 5 3" xfId="6172" xr:uid="{00000000-0005-0000-0000-0000DB000000}"/>
    <cellStyle name="20% - Accent2 2 3 5 3 2" xfId="14601" xr:uid="{7A253057-F86B-4C87-BFE5-89C615885F92}"/>
    <cellStyle name="20% - Accent2 2 3 5 3 3" xfId="23029" xr:uid="{0B2D6581-BE94-47B7-81A3-DC35949ED84E}"/>
    <cellStyle name="20% - Accent2 2 3 5 4" xfId="10383" xr:uid="{F819660D-B132-4C2E-8843-B3265E1B8D61}"/>
    <cellStyle name="20% - Accent2 2 3 5 5" xfId="18812" xr:uid="{D4CD231B-9CD6-41B5-9A12-C678F81E7C99}"/>
    <cellStyle name="20% - Accent2 2 3 6" xfId="2277" xr:uid="{00000000-0005-0000-0000-0000DC000000}"/>
    <cellStyle name="20% - Accent2 2 3 6 2" xfId="6585" xr:uid="{00000000-0005-0000-0000-0000DD000000}"/>
    <cellStyle name="20% - Accent2 2 3 6 2 2" xfId="15014" xr:uid="{32ABA847-71E5-4ADE-A944-3A275655E4CE}"/>
    <cellStyle name="20% - Accent2 2 3 6 2 3" xfId="23442" xr:uid="{2D011AAA-5BE5-41E4-AF25-F92B56721FA2}"/>
    <cellStyle name="20% - Accent2 2 3 6 3" xfId="10796" xr:uid="{71E0BB11-FFD2-4B0A-9A81-327050A07091}"/>
    <cellStyle name="20% - Accent2 2 3 6 4" xfId="19225" xr:uid="{8872AE43-2FA8-4224-9061-A8BE6DB90493}"/>
    <cellStyle name="20% - Accent2 2 3 7" xfId="4519" xr:uid="{00000000-0005-0000-0000-0000DE000000}"/>
    <cellStyle name="20% - Accent2 2 3 7 2" xfId="12948" xr:uid="{ADA12C39-727A-457A-9E58-368AC8B5D68A}"/>
    <cellStyle name="20% - Accent2 2 3 7 3" xfId="21376" xr:uid="{CFE88F31-1F62-4921-8C85-83578BB9BADB}"/>
    <cellStyle name="20% - Accent2 2 3 8" xfId="8730" xr:uid="{EF520DCD-EA3A-4FFF-A39C-AAB99554DEB4}"/>
    <cellStyle name="20% - Accent2 2 3 9" xfId="17159" xr:uid="{260AAB29-11D9-48CB-A80B-1A41A40F6598}"/>
    <cellStyle name="20% - Accent2 2 4" xfId="580" xr:uid="{00000000-0005-0000-0000-0000DF000000}"/>
    <cellStyle name="20% - Accent2 2 4 2" xfId="2851" xr:uid="{00000000-0005-0000-0000-0000E0000000}"/>
    <cellStyle name="20% - Accent2 2 4 2 2" xfId="7075" xr:uid="{00000000-0005-0000-0000-0000E1000000}"/>
    <cellStyle name="20% - Accent2 2 4 2 2 2" xfId="15504" xr:uid="{3988FFF2-9E04-49EB-ADF2-3DFE6E89B7E8}"/>
    <cellStyle name="20% - Accent2 2 4 2 2 3" xfId="23932" xr:uid="{CE51989F-6DD5-4D73-8CE1-7558616DD7C2}"/>
    <cellStyle name="20% - Accent2 2 4 2 3" xfId="11286" xr:uid="{8D876C66-67A8-4F2B-B8D7-A69B5FED7E67}"/>
    <cellStyle name="20% - Accent2 2 4 2 4" xfId="19715" xr:uid="{14A18475-DE5E-4688-8E87-2E50E0530F7F}"/>
    <cellStyle name="20% - Accent2 2 4 3" xfId="4930" xr:uid="{00000000-0005-0000-0000-0000E2000000}"/>
    <cellStyle name="20% - Accent2 2 4 3 2" xfId="13359" xr:uid="{8EBA3C64-C76D-4069-8AF9-0B6257A0CD51}"/>
    <cellStyle name="20% - Accent2 2 4 3 3" xfId="21787" xr:uid="{A6BC1B8F-3BF9-4AB8-8474-1FC9A5BF3609}"/>
    <cellStyle name="20% - Accent2 2 4 4" xfId="9141" xr:uid="{53ABB58B-BDE2-48E5-B040-D6870EE8C8AB}"/>
    <cellStyle name="20% - Accent2 2 4 5" xfId="17570" xr:uid="{4C2AE612-EC5A-47FC-B9A7-CB25665056D9}"/>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7" xr:uid="{B053E298-BF91-452B-8089-7ED3608DFF24}"/>
    <cellStyle name="20% - Accent2 2 5 2 2 3" xfId="24345" xr:uid="{B0E2D9FF-0FC7-4370-838D-ACC00F807133}"/>
    <cellStyle name="20% - Accent2 2 5 2 3" xfId="11699" xr:uid="{EED01C0D-0A76-4F75-B096-3DB4368198CC}"/>
    <cellStyle name="20% - Accent2 2 5 2 4" xfId="20128" xr:uid="{EC1D6EFC-BB71-426C-BF90-2A6ED87CE37A}"/>
    <cellStyle name="20% - Accent2 2 5 3" xfId="5343" xr:uid="{00000000-0005-0000-0000-0000E6000000}"/>
    <cellStyle name="20% - Accent2 2 5 3 2" xfId="13772" xr:uid="{4C2C80E8-C0CB-4B58-A21A-19888AA3E75D}"/>
    <cellStyle name="20% - Accent2 2 5 3 3" xfId="22200" xr:uid="{5E2D93EA-7627-49A0-BB6D-6200C455A1E3}"/>
    <cellStyle name="20% - Accent2 2 5 4" xfId="9554" xr:uid="{44609C11-11CC-4358-9D44-8FA098C162DF}"/>
    <cellStyle name="20% - Accent2 2 5 5" xfId="17983" xr:uid="{91557101-53E2-41BA-8AEE-B37A52E9AD53}"/>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30" xr:uid="{1396573A-567F-4CB5-A022-AF4B0B4D441D}"/>
    <cellStyle name="20% - Accent2 2 6 2 2 3" xfId="24758" xr:uid="{C43B63F0-B7CB-40F6-ACEB-40FC4B1064D8}"/>
    <cellStyle name="20% - Accent2 2 6 2 3" xfId="12112" xr:uid="{FB4203A5-EBBC-4025-B2D7-57A91D2D5929}"/>
    <cellStyle name="20% - Accent2 2 6 2 4" xfId="20541" xr:uid="{596532D4-4EE2-4AD8-9717-4BC1A4960102}"/>
    <cellStyle name="20% - Accent2 2 6 3" xfId="5756" xr:uid="{00000000-0005-0000-0000-0000EA000000}"/>
    <cellStyle name="20% - Accent2 2 6 3 2" xfId="14185" xr:uid="{A4C2EDC1-819C-4A11-BEAF-756CF2F0A59B}"/>
    <cellStyle name="20% - Accent2 2 6 3 3" xfId="22613" xr:uid="{25FE47B1-8064-4E45-89C0-613EB59C4B3A}"/>
    <cellStyle name="20% - Accent2 2 6 4" xfId="9967" xr:uid="{15C401D2-FFB4-49B6-A0C4-ACB532987C82}"/>
    <cellStyle name="20% - Accent2 2 6 5" xfId="18396" xr:uid="{5008446D-2A10-4A64-AF50-B3D6585ECDD6}"/>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43" xr:uid="{7E1B501A-7B55-471B-B503-7BB7A5D0AF73}"/>
    <cellStyle name="20% - Accent2 2 7 2 2 3" xfId="25171" xr:uid="{49BA1C1E-40A1-4EA0-B069-7276C8FDF00C}"/>
    <cellStyle name="20% - Accent2 2 7 2 3" xfId="12525" xr:uid="{C1F174F6-A81C-4639-B44B-4C6871B43AD8}"/>
    <cellStyle name="20% - Accent2 2 7 2 4" xfId="20954" xr:uid="{220290E9-0ECA-42DB-8C34-B3A7CA6389F1}"/>
    <cellStyle name="20% - Accent2 2 7 3" xfId="6169" xr:uid="{00000000-0005-0000-0000-0000EE000000}"/>
    <cellStyle name="20% - Accent2 2 7 3 2" xfId="14598" xr:uid="{B99A4317-E31A-4FCE-B4E6-F851AB350C97}"/>
    <cellStyle name="20% - Accent2 2 7 3 3" xfId="23026" xr:uid="{7AFB8417-0C58-4419-8F9F-CCA84CA87D05}"/>
    <cellStyle name="20% - Accent2 2 7 4" xfId="10380" xr:uid="{8786C924-20A1-42F9-9541-54AF19AAD4FF}"/>
    <cellStyle name="20% - Accent2 2 7 5" xfId="18809" xr:uid="{E0557A06-539D-46D6-9E96-D8B98B6E8A6E}"/>
    <cellStyle name="20% - Accent2 2 8" xfId="2274" xr:uid="{00000000-0005-0000-0000-0000EF000000}"/>
    <cellStyle name="20% - Accent2 2 8 2" xfId="6582" xr:uid="{00000000-0005-0000-0000-0000F0000000}"/>
    <cellStyle name="20% - Accent2 2 8 2 2" xfId="15011" xr:uid="{D1D6FA08-D671-4304-8E2F-38EE03F4185C}"/>
    <cellStyle name="20% - Accent2 2 8 2 3" xfId="23439" xr:uid="{53E3B71C-6841-426B-B28C-1BBA8EF08646}"/>
    <cellStyle name="20% - Accent2 2 8 3" xfId="10793" xr:uid="{923FB03A-1EEF-4C5F-8EE5-BB18A2F2393E}"/>
    <cellStyle name="20% - Accent2 2 8 4" xfId="19222" xr:uid="{7CF55205-DE81-4D5D-ADEE-8FFB9FBF0348}"/>
    <cellStyle name="20% - Accent2 2 9" xfId="4516" xr:uid="{00000000-0005-0000-0000-0000F1000000}"/>
    <cellStyle name="20% - Accent2 2 9 2" xfId="12945" xr:uid="{29F4B6EC-074D-4AFE-A4B8-A65BD433289E}"/>
    <cellStyle name="20% - Accent2 2 9 3" xfId="21373" xr:uid="{167C1FEB-A819-45CB-9DFC-9F56B8DB68DB}"/>
    <cellStyle name="20% - Accent2 3" xfId="14" xr:uid="{00000000-0005-0000-0000-0000F2000000}"/>
    <cellStyle name="20% - Accent2 3 10" xfId="17160" xr:uid="{85C56ED2-3BB9-4899-A556-FAD2EA0E49B2}"/>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9" xr:uid="{1A034BBE-1DA5-4410-812B-E153A6577ECA}"/>
    <cellStyle name="20% - Accent2 3 2 2 2 2 3" xfId="23937" xr:uid="{E266660C-2860-4436-B595-119EB08C32D7}"/>
    <cellStyle name="20% - Accent2 3 2 2 2 3" xfId="11291" xr:uid="{360F112F-CE56-463C-8006-DE50B3889738}"/>
    <cellStyle name="20% - Accent2 3 2 2 2 4" xfId="19720" xr:uid="{E2078CF7-DFB3-4001-BFA8-BF5E564FF35C}"/>
    <cellStyle name="20% - Accent2 3 2 2 3" xfId="4935" xr:uid="{00000000-0005-0000-0000-0000F7000000}"/>
    <cellStyle name="20% - Accent2 3 2 2 3 2" xfId="13364" xr:uid="{0198F5E4-7169-4338-BE6F-4E398B8EDB10}"/>
    <cellStyle name="20% - Accent2 3 2 2 3 3" xfId="21792" xr:uid="{D670D253-5465-439D-B464-43C6F70EEFEF}"/>
    <cellStyle name="20% - Accent2 3 2 2 4" xfId="9146" xr:uid="{14758E9D-0F7A-4C3C-9B12-F56E58BCAF1B}"/>
    <cellStyle name="20% - Accent2 3 2 2 5" xfId="17575" xr:uid="{9E795FF6-9D21-4A6F-BA70-C0CE1037AAE7}"/>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22" xr:uid="{FF41A7CE-102A-4CB4-A23F-17250D59C6C7}"/>
    <cellStyle name="20% - Accent2 3 2 3 2 2 3" xfId="24350" xr:uid="{4EA9C9D1-3B01-4577-9264-DAD770E57A38}"/>
    <cellStyle name="20% - Accent2 3 2 3 2 3" xfId="11704" xr:uid="{A41A4DC6-1D63-4E09-91E2-8D47B564395A}"/>
    <cellStyle name="20% - Accent2 3 2 3 2 4" xfId="20133" xr:uid="{87AA34F4-4761-44BD-81AD-771316B7AF4A}"/>
    <cellStyle name="20% - Accent2 3 2 3 3" xfId="5348" xr:uid="{00000000-0005-0000-0000-0000FB000000}"/>
    <cellStyle name="20% - Accent2 3 2 3 3 2" xfId="13777" xr:uid="{8D98D218-0768-4061-B91D-83DB77D6918F}"/>
    <cellStyle name="20% - Accent2 3 2 3 3 3" xfId="22205" xr:uid="{B62B30D6-257A-4A7F-9A53-A6489352B9F6}"/>
    <cellStyle name="20% - Accent2 3 2 3 4" xfId="9559" xr:uid="{5FCFEF15-E7D2-40C6-AAE5-2FC4237789EA}"/>
    <cellStyle name="20% - Accent2 3 2 3 5" xfId="17988" xr:uid="{349EBA84-8955-42C3-B461-46A0BB143773}"/>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35" xr:uid="{83093C5C-87D0-4B33-AA3F-82D5FF7F9CB8}"/>
    <cellStyle name="20% - Accent2 3 2 4 2 2 3" xfId="24763" xr:uid="{EA7896B3-7D57-4176-9BE6-36531E0590DE}"/>
    <cellStyle name="20% - Accent2 3 2 4 2 3" xfId="12117" xr:uid="{F2478A94-E531-4436-BE44-EBE6ADE2C53A}"/>
    <cellStyle name="20% - Accent2 3 2 4 2 4" xfId="20546" xr:uid="{6F4DF539-D328-4DCA-A647-330FD933A423}"/>
    <cellStyle name="20% - Accent2 3 2 4 3" xfId="5761" xr:uid="{00000000-0005-0000-0000-0000FF000000}"/>
    <cellStyle name="20% - Accent2 3 2 4 3 2" xfId="14190" xr:uid="{B4A7BB01-A8E3-4ADD-AA09-B08F713D23B1}"/>
    <cellStyle name="20% - Accent2 3 2 4 3 3" xfId="22618" xr:uid="{21928916-F839-48C5-8CDB-CC616C12DDB7}"/>
    <cellStyle name="20% - Accent2 3 2 4 4" xfId="9972" xr:uid="{851B737C-A758-494B-814F-5BA4C79DC00E}"/>
    <cellStyle name="20% - Accent2 3 2 4 5" xfId="18401" xr:uid="{513FE236-5DDE-4B95-90BA-6682C8F9D70C}"/>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8" xr:uid="{4A82D0C3-FA7A-4B0C-975F-8D179B469F45}"/>
    <cellStyle name="20% - Accent2 3 2 5 2 2 3" xfId="25176" xr:uid="{886E0DB2-EB88-4CE7-9B2B-7E61A9EE19EC}"/>
    <cellStyle name="20% - Accent2 3 2 5 2 3" xfId="12530" xr:uid="{6E73E64E-159A-4F10-BF09-1FC64FB4B90E}"/>
    <cellStyle name="20% - Accent2 3 2 5 2 4" xfId="20959" xr:uid="{5E23785B-FC3B-420E-98AE-F61634C23A12}"/>
    <cellStyle name="20% - Accent2 3 2 5 3" xfId="6174" xr:uid="{00000000-0005-0000-0000-000003010000}"/>
    <cellStyle name="20% - Accent2 3 2 5 3 2" xfId="14603" xr:uid="{6CDC1775-F578-4C4A-A4B6-88CF69A4E349}"/>
    <cellStyle name="20% - Accent2 3 2 5 3 3" xfId="23031" xr:uid="{AE6C4812-0861-4599-B52F-BF892D634D65}"/>
    <cellStyle name="20% - Accent2 3 2 5 4" xfId="10385" xr:uid="{A9B33F1C-0996-4091-9133-EC439FB795B0}"/>
    <cellStyle name="20% - Accent2 3 2 5 5" xfId="18814" xr:uid="{3CB53FC8-0FEE-49F3-B7E7-F44103D6BC13}"/>
    <cellStyle name="20% - Accent2 3 2 6" xfId="2279" xr:uid="{00000000-0005-0000-0000-000004010000}"/>
    <cellStyle name="20% - Accent2 3 2 6 2" xfId="6587" xr:uid="{00000000-0005-0000-0000-000005010000}"/>
    <cellStyle name="20% - Accent2 3 2 6 2 2" xfId="15016" xr:uid="{66AFDB44-1BB4-4E27-82F2-0061EB149C84}"/>
    <cellStyle name="20% - Accent2 3 2 6 2 3" xfId="23444" xr:uid="{A3B212B9-D896-4FF2-80A0-836F79CB8003}"/>
    <cellStyle name="20% - Accent2 3 2 6 3" xfId="10798" xr:uid="{2D0AF1A4-2224-4047-9E73-1446411BFDEA}"/>
    <cellStyle name="20% - Accent2 3 2 6 4" xfId="19227" xr:uid="{7AAEEE08-A20A-4648-A769-8682F1F0049C}"/>
    <cellStyle name="20% - Accent2 3 2 7" xfId="4521" xr:uid="{00000000-0005-0000-0000-000006010000}"/>
    <cellStyle name="20% - Accent2 3 2 7 2" xfId="12950" xr:uid="{24A12CD2-1E1A-47F3-84B1-87B571611BEF}"/>
    <cellStyle name="20% - Accent2 3 2 7 3" xfId="21378" xr:uid="{E197063B-F391-4792-9FD4-8C9055EF9C85}"/>
    <cellStyle name="20% - Accent2 3 2 8" xfId="8732" xr:uid="{302993FD-61B7-4096-B750-5A2588CD2F24}"/>
    <cellStyle name="20% - Accent2 3 2 9" xfId="17161" xr:uid="{3DD4C413-4F26-4CB0-8DA4-555547EF1B12}"/>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8" xr:uid="{34A162B1-FF30-4FC3-B3EE-E8CB372BFA48}"/>
    <cellStyle name="20% - Accent2 3 3 2 2 3" xfId="23936" xr:uid="{08671CAF-4EA6-4039-911E-FE1C940A5D54}"/>
    <cellStyle name="20% - Accent2 3 3 2 3" xfId="11290" xr:uid="{94FCCDEC-110A-4C52-8BA8-4B85B5E3378F}"/>
    <cellStyle name="20% - Accent2 3 3 2 4" xfId="19719" xr:uid="{066037FC-D032-4F34-A8E6-91786EC3E591}"/>
    <cellStyle name="20% - Accent2 3 3 3" xfId="4934" xr:uid="{00000000-0005-0000-0000-00000A010000}"/>
    <cellStyle name="20% - Accent2 3 3 3 2" xfId="13363" xr:uid="{5241801D-4F51-4A14-A23F-03B087EAC9B4}"/>
    <cellStyle name="20% - Accent2 3 3 3 3" xfId="21791" xr:uid="{8F58AB35-1D64-4562-A343-1D9066444BB1}"/>
    <cellStyle name="20% - Accent2 3 3 4" xfId="9145" xr:uid="{67D0737A-F548-4967-99FA-3DA627BA56D5}"/>
    <cellStyle name="20% - Accent2 3 3 5" xfId="17574" xr:uid="{0F80F5AB-B045-429F-A558-11D3144C46D8}"/>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21" xr:uid="{9E31D264-5695-45B1-948B-D2A4AA7B9F28}"/>
    <cellStyle name="20% - Accent2 3 4 2 2 3" xfId="24349" xr:uid="{0FF49D67-8651-46AB-817B-9F24AD8F8DD3}"/>
    <cellStyle name="20% - Accent2 3 4 2 3" xfId="11703" xr:uid="{5DF79FE8-793A-44E3-ACEB-64770149725D}"/>
    <cellStyle name="20% - Accent2 3 4 2 4" xfId="20132" xr:uid="{673E5D2F-7EA2-4326-812A-32FE36692248}"/>
    <cellStyle name="20% - Accent2 3 4 3" xfId="5347" xr:uid="{00000000-0005-0000-0000-00000E010000}"/>
    <cellStyle name="20% - Accent2 3 4 3 2" xfId="13776" xr:uid="{041E6821-B465-4E68-861D-CA71FE7BA030}"/>
    <cellStyle name="20% - Accent2 3 4 3 3" xfId="22204" xr:uid="{41CE1B92-6D14-46C5-8FB0-DA3706A54155}"/>
    <cellStyle name="20% - Accent2 3 4 4" xfId="9558" xr:uid="{67077C22-918D-410D-BFF7-D59696D4114A}"/>
    <cellStyle name="20% - Accent2 3 4 5" xfId="17987" xr:uid="{B3EBA11E-94FB-4F00-AB97-3FCA973F45C1}"/>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34" xr:uid="{9A96532C-CE39-45EC-8CB6-7222CD9ABB6C}"/>
    <cellStyle name="20% - Accent2 3 5 2 2 3" xfId="24762" xr:uid="{6718AD16-99DF-4553-AA89-70A719A4C63B}"/>
    <cellStyle name="20% - Accent2 3 5 2 3" xfId="12116" xr:uid="{3FCC43D6-960B-4E29-8528-F05017C4D8A1}"/>
    <cellStyle name="20% - Accent2 3 5 2 4" xfId="20545" xr:uid="{E6F8F604-4B42-4C8C-9978-A0633C2BDB33}"/>
    <cellStyle name="20% - Accent2 3 5 3" xfId="5760" xr:uid="{00000000-0005-0000-0000-000012010000}"/>
    <cellStyle name="20% - Accent2 3 5 3 2" xfId="14189" xr:uid="{293C3015-9231-4FFF-9068-3F70723FFAF9}"/>
    <cellStyle name="20% - Accent2 3 5 3 3" xfId="22617" xr:uid="{1B08D291-EF10-44C2-9361-0A89518B692E}"/>
    <cellStyle name="20% - Accent2 3 5 4" xfId="9971" xr:uid="{140B78AC-6347-4D76-AEBB-F5367A63142C}"/>
    <cellStyle name="20% - Accent2 3 5 5" xfId="18400" xr:uid="{404E0EE0-1CAA-4AB9-8E5C-2AA364CA5607}"/>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7" xr:uid="{772D7753-6237-46D0-89D7-5FF6BF3EEADE}"/>
    <cellStyle name="20% - Accent2 3 6 2 2 3" xfId="25175" xr:uid="{91F80797-3922-4B64-88BC-251B44EA77BD}"/>
    <cellStyle name="20% - Accent2 3 6 2 3" xfId="12529" xr:uid="{49708677-9706-4F23-87F3-B837A1ABF996}"/>
    <cellStyle name="20% - Accent2 3 6 2 4" xfId="20958" xr:uid="{56358E98-3712-409D-AC4F-EFAEF04ED066}"/>
    <cellStyle name="20% - Accent2 3 6 3" xfId="6173" xr:uid="{00000000-0005-0000-0000-000016010000}"/>
    <cellStyle name="20% - Accent2 3 6 3 2" xfId="14602" xr:uid="{CE854F1F-127F-4DEF-927E-2438C61AAB7E}"/>
    <cellStyle name="20% - Accent2 3 6 3 3" xfId="23030" xr:uid="{A7448915-4469-48AA-8657-B01F69FA2506}"/>
    <cellStyle name="20% - Accent2 3 6 4" xfId="10384" xr:uid="{082EE90F-70B9-4F04-B239-08B6C510C03C}"/>
    <cellStyle name="20% - Accent2 3 6 5" xfId="18813" xr:uid="{D6A65173-8DCF-4D34-9DDB-236D56533E3B}"/>
    <cellStyle name="20% - Accent2 3 7" xfId="2278" xr:uid="{00000000-0005-0000-0000-000017010000}"/>
    <cellStyle name="20% - Accent2 3 7 2" xfId="6586" xr:uid="{00000000-0005-0000-0000-000018010000}"/>
    <cellStyle name="20% - Accent2 3 7 2 2" xfId="15015" xr:uid="{40F08AD2-FF68-4EFD-BCD4-855134CB5FB8}"/>
    <cellStyle name="20% - Accent2 3 7 2 3" xfId="23443" xr:uid="{C9917FBC-01C7-4715-8AAA-FACBA1F5B876}"/>
    <cellStyle name="20% - Accent2 3 7 3" xfId="10797" xr:uid="{31078CFC-7506-4471-B259-0C45BAB8901D}"/>
    <cellStyle name="20% - Accent2 3 7 4" xfId="19226" xr:uid="{D2641640-B31D-474B-915E-359D534AA8FF}"/>
    <cellStyle name="20% - Accent2 3 8" xfId="4520" xr:uid="{00000000-0005-0000-0000-000019010000}"/>
    <cellStyle name="20% - Accent2 3 8 2" xfId="12949" xr:uid="{3C00042C-335E-4330-A0D3-7E02A15E2D3C}"/>
    <cellStyle name="20% - Accent2 3 8 3" xfId="21377" xr:uid="{861F5DF4-A7DB-4D14-B1BB-85B0E6E1B27A}"/>
    <cellStyle name="20% - Accent2 3 9" xfId="8731" xr:uid="{11F53E17-48A5-4A70-9B32-BBCBA142B643}"/>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10" xr:uid="{35CE15E0-F413-43D0-9C88-B2BD2B1EDAFA}"/>
    <cellStyle name="20% - Accent2 4 2 2 2 3" xfId="23938" xr:uid="{F7359611-0B7F-4DD7-81E3-B61FE71D0342}"/>
    <cellStyle name="20% - Accent2 4 2 2 3" xfId="11292" xr:uid="{0A49A64C-59C1-4AF3-B5E4-510375D73599}"/>
    <cellStyle name="20% - Accent2 4 2 2 4" xfId="19721" xr:uid="{6AB3D870-02F5-4075-AF63-A25CC1EEADE0}"/>
    <cellStyle name="20% - Accent2 4 2 3" xfId="4936" xr:uid="{00000000-0005-0000-0000-00001E010000}"/>
    <cellStyle name="20% - Accent2 4 2 3 2" xfId="13365" xr:uid="{92FB0DD0-3796-4102-B430-715AB8F7EC7D}"/>
    <cellStyle name="20% - Accent2 4 2 3 3" xfId="21793" xr:uid="{97E7A1D1-3BC2-47B2-907B-F0BCAC9BDE59}"/>
    <cellStyle name="20% - Accent2 4 2 4" xfId="9147" xr:uid="{89B2326E-F6DB-4688-9870-D838749F0133}"/>
    <cellStyle name="20% - Accent2 4 2 5" xfId="17576" xr:uid="{6900B12A-238D-4B00-AA03-629763E3EC91}"/>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23" xr:uid="{CAF44CB5-1969-4854-A138-C15F1F21AD81}"/>
    <cellStyle name="20% - Accent2 4 3 2 2 3" xfId="24351" xr:uid="{F3307826-60D0-4EA1-82DD-BD5F4B768172}"/>
    <cellStyle name="20% - Accent2 4 3 2 3" xfId="11705" xr:uid="{455F86D1-193A-404A-BDAF-70D077F1A724}"/>
    <cellStyle name="20% - Accent2 4 3 2 4" xfId="20134" xr:uid="{AA1853E6-1948-4F1B-8DEE-883FB1D3609E}"/>
    <cellStyle name="20% - Accent2 4 3 3" xfId="5349" xr:uid="{00000000-0005-0000-0000-000022010000}"/>
    <cellStyle name="20% - Accent2 4 3 3 2" xfId="13778" xr:uid="{6383A8F6-AEF7-49DC-9D98-54B1CC35E847}"/>
    <cellStyle name="20% - Accent2 4 3 3 3" xfId="22206" xr:uid="{856CE281-78A6-4607-BF17-D4B97A8002A9}"/>
    <cellStyle name="20% - Accent2 4 3 4" xfId="9560" xr:uid="{B8103A5C-B781-482A-A368-DB974EFC9E47}"/>
    <cellStyle name="20% - Accent2 4 3 5" xfId="17989" xr:uid="{1A8BA85E-A514-4EB8-B14A-E22B260E072B}"/>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36" xr:uid="{0322AEDD-2750-47A0-9399-5662BC1DD6B6}"/>
    <cellStyle name="20% - Accent2 4 4 2 2 3" xfId="24764" xr:uid="{1871E8F1-A3B2-40AF-9E18-B7D4F9BDA67E}"/>
    <cellStyle name="20% - Accent2 4 4 2 3" xfId="12118" xr:uid="{E73A39E4-1EA1-42A6-96F8-868DEC4514AB}"/>
    <cellStyle name="20% - Accent2 4 4 2 4" xfId="20547" xr:uid="{AC8751F9-42D1-4DCF-BBC0-4C1108EA5AAB}"/>
    <cellStyle name="20% - Accent2 4 4 3" xfId="5762" xr:uid="{00000000-0005-0000-0000-000026010000}"/>
    <cellStyle name="20% - Accent2 4 4 3 2" xfId="14191" xr:uid="{215CACF7-AC36-4019-A069-65E21C631983}"/>
    <cellStyle name="20% - Accent2 4 4 3 3" xfId="22619" xr:uid="{1918B1CF-DBC7-439A-B5F6-15B38FA38161}"/>
    <cellStyle name="20% - Accent2 4 4 4" xfId="9973" xr:uid="{27DFFFDA-031F-459F-9E8E-979FF51DBC28}"/>
    <cellStyle name="20% - Accent2 4 4 5" xfId="18402" xr:uid="{D189D589-C5A6-497B-A4AF-621C0429C392}"/>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9" xr:uid="{435ED983-59E7-4481-B97B-003083453D57}"/>
    <cellStyle name="20% - Accent2 4 5 2 2 3" xfId="25177" xr:uid="{3CC9449E-E0F1-45D8-B0F3-456D058FF5C2}"/>
    <cellStyle name="20% - Accent2 4 5 2 3" xfId="12531" xr:uid="{75FC3E8A-1AF6-48B8-9643-F047FEAB25DF}"/>
    <cellStyle name="20% - Accent2 4 5 2 4" xfId="20960" xr:uid="{0995216A-C34B-45FA-9F22-EC624FB07C95}"/>
    <cellStyle name="20% - Accent2 4 5 3" xfId="6175" xr:uid="{00000000-0005-0000-0000-00002A010000}"/>
    <cellStyle name="20% - Accent2 4 5 3 2" xfId="14604" xr:uid="{2024CD76-0484-4FB9-A252-54EF4802FA55}"/>
    <cellStyle name="20% - Accent2 4 5 3 3" xfId="23032" xr:uid="{9FCC6B1D-2242-40A9-8B3D-EE36A1018DFD}"/>
    <cellStyle name="20% - Accent2 4 5 4" xfId="10386" xr:uid="{87FA6A54-B1D5-4940-A6AB-ECCA701B8455}"/>
    <cellStyle name="20% - Accent2 4 5 5" xfId="18815" xr:uid="{2E7E7BC2-8F37-4DAA-B83D-38321DFB9B7F}"/>
    <cellStyle name="20% - Accent2 4 6" xfId="2280" xr:uid="{00000000-0005-0000-0000-00002B010000}"/>
    <cellStyle name="20% - Accent2 4 6 2" xfId="6588" xr:uid="{00000000-0005-0000-0000-00002C010000}"/>
    <cellStyle name="20% - Accent2 4 6 2 2" xfId="15017" xr:uid="{D4A3B5FC-FE38-4CD4-B2E8-B4ED1DBAD08F}"/>
    <cellStyle name="20% - Accent2 4 6 2 3" xfId="23445" xr:uid="{A12F08BB-FEA6-43C2-B7FD-A2BDAABAD5E2}"/>
    <cellStyle name="20% - Accent2 4 6 3" xfId="10799" xr:uid="{02A359EB-C7F3-4262-8894-ABFE13482DF7}"/>
    <cellStyle name="20% - Accent2 4 6 4" xfId="19228" xr:uid="{7A67A5A9-71D4-4A36-AAB4-C2A949CC480A}"/>
    <cellStyle name="20% - Accent2 4 7" xfId="4522" xr:uid="{00000000-0005-0000-0000-00002D010000}"/>
    <cellStyle name="20% - Accent2 4 7 2" xfId="12951" xr:uid="{9345EC6A-0F1A-4AD7-B59D-AAC71C42CBB7}"/>
    <cellStyle name="20% - Accent2 4 7 3" xfId="21379" xr:uid="{B0DBF859-E3A0-4959-A9FD-3E6BC59F7948}"/>
    <cellStyle name="20% - Accent2 4 8" xfId="8733" xr:uid="{036BCDA1-29EE-4FE7-A6FA-5D3B2EF5D5E1}"/>
    <cellStyle name="20% - Accent2 4 9" xfId="17162" xr:uid="{D0A3CAB4-81DC-4F90-BF56-C64A1C9F652F}"/>
    <cellStyle name="20% - Accent2 5" xfId="579" xr:uid="{00000000-0005-0000-0000-00002E010000}"/>
    <cellStyle name="20% - Accent2 5 2" xfId="2850" xr:uid="{00000000-0005-0000-0000-00002F010000}"/>
    <cellStyle name="20% - Accent2 5 2 2" xfId="7074" xr:uid="{00000000-0005-0000-0000-000030010000}"/>
    <cellStyle name="20% - Accent2 5 2 2 2" xfId="15503" xr:uid="{DFA227D2-CEE1-477D-82C5-936DBDE41427}"/>
    <cellStyle name="20% - Accent2 5 2 2 3" xfId="23931" xr:uid="{19783E11-C170-4680-B60E-C0CE58ED3361}"/>
    <cellStyle name="20% - Accent2 5 2 3" xfId="11285" xr:uid="{9FA861D4-F2FD-4B0B-9B59-6176E313577C}"/>
    <cellStyle name="20% - Accent2 5 2 4" xfId="19714" xr:uid="{FE7DAC70-B277-4E2F-9457-DB05D3846FDD}"/>
    <cellStyle name="20% - Accent2 5 3" xfId="4929" xr:uid="{00000000-0005-0000-0000-000031010000}"/>
    <cellStyle name="20% - Accent2 5 3 2" xfId="13358" xr:uid="{C719439D-19E9-44FA-817F-695DC8AAE998}"/>
    <cellStyle name="20% - Accent2 5 3 3" xfId="21786" xr:uid="{8FEE306B-36A7-492E-81DB-ACF0BEF280B4}"/>
    <cellStyle name="20% - Accent2 5 4" xfId="9140" xr:uid="{E31625D8-943C-4284-8FFB-9A82AA768C70}"/>
    <cellStyle name="20% - Accent2 5 5" xfId="17569" xr:uid="{94F4AC13-AA98-42AF-933A-028B293C2C9C}"/>
    <cellStyle name="20% - Accent2 6" xfId="1032" xr:uid="{00000000-0005-0000-0000-000032010000}"/>
    <cellStyle name="20% - Accent2 6 2" xfId="3263" xr:uid="{00000000-0005-0000-0000-000033010000}"/>
    <cellStyle name="20% - Accent2 6 2 2" xfId="7487" xr:uid="{00000000-0005-0000-0000-000034010000}"/>
    <cellStyle name="20% - Accent2 6 2 2 2" xfId="15916" xr:uid="{991CE804-7CFA-4F26-AEBD-E29C46E512AE}"/>
    <cellStyle name="20% - Accent2 6 2 2 3" xfId="24344" xr:uid="{7796F09F-C14A-450C-A729-6133AC1A9B36}"/>
    <cellStyle name="20% - Accent2 6 2 3" xfId="11698" xr:uid="{07FAEEEB-DE3B-4265-A561-C9E2FB1217AF}"/>
    <cellStyle name="20% - Accent2 6 2 4" xfId="20127" xr:uid="{A8B4F56C-853E-49FD-B72F-BCBC90C93239}"/>
    <cellStyle name="20% - Accent2 6 3" xfId="5342" xr:uid="{00000000-0005-0000-0000-000035010000}"/>
    <cellStyle name="20% - Accent2 6 3 2" xfId="13771" xr:uid="{EF650C17-90EE-470B-B890-6BBE2FD53EF1}"/>
    <cellStyle name="20% - Accent2 6 3 3" xfId="22199" xr:uid="{1C38D36C-9D6A-4372-8D87-1E38E888D956}"/>
    <cellStyle name="20% - Accent2 6 4" xfId="9553" xr:uid="{9E0D9CB4-08BD-4B9F-9CCA-AAD9F96AC1AF}"/>
    <cellStyle name="20% - Accent2 6 5" xfId="17982" xr:uid="{2FE02C8B-F106-48D8-8D0B-90C611B6ED98}"/>
    <cellStyle name="20% - Accent2 7" xfId="1446" xr:uid="{00000000-0005-0000-0000-000036010000}"/>
    <cellStyle name="20% - Accent2 7 2" xfId="3676" xr:uid="{00000000-0005-0000-0000-000037010000}"/>
    <cellStyle name="20% - Accent2 7 2 2" xfId="7900" xr:uid="{00000000-0005-0000-0000-000038010000}"/>
    <cellStyle name="20% - Accent2 7 2 2 2" xfId="16329" xr:uid="{AA1E35CC-A807-4A0D-9536-0A4103125DF1}"/>
    <cellStyle name="20% - Accent2 7 2 2 3" xfId="24757" xr:uid="{E57441B7-26B8-444A-8F5C-198AD9D747D1}"/>
    <cellStyle name="20% - Accent2 7 2 3" xfId="12111" xr:uid="{DA0A87C7-25B0-4D13-9237-5A967B9A6BDA}"/>
    <cellStyle name="20% - Accent2 7 2 4" xfId="20540" xr:uid="{D9BC9B3B-DFE9-4A3F-8A06-DC37BDFA2E8C}"/>
    <cellStyle name="20% - Accent2 7 3" xfId="5755" xr:uid="{00000000-0005-0000-0000-000039010000}"/>
    <cellStyle name="20% - Accent2 7 3 2" xfId="14184" xr:uid="{A7154284-3B98-43EC-8F3B-450B6A398FC0}"/>
    <cellStyle name="20% - Accent2 7 3 3" xfId="22612" xr:uid="{C3684403-3DC7-4F11-A553-8645A20C63A5}"/>
    <cellStyle name="20% - Accent2 7 4" xfId="9966" xr:uid="{2922B39D-1FE8-427E-85B3-E7C3D4DBD271}"/>
    <cellStyle name="20% - Accent2 7 5" xfId="18395" xr:uid="{B21C1EBF-1FBF-4D98-B62F-1E96F948D3F0}"/>
    <cellStyle name="20% - Accent2 8" xfId="1860" xr:uid="{00000000-0005-0000-0000-00003A010000}"/>
    <cellStyle name="20% - Accent2 8 2" xfId="4089" xr:uid="{00000000-0005-0000-0000-00003B010000}"/>
    <cellStyle name="20% - Accent2 8 2 2" xfId="8313" xr:uid="{00000000-0005-0000-0000-00003C010000}"/>
    <cellStyle name="20% - Accent2 8 2 2 2" xfId="16742" xr:uid="{B39CDA3E-A3E2-4973-8386-FB4CE4CB1021}"/>
    <cellStyle name="20% - Accent2 8 2 2 3" xfId="25170" xr:uid="{6F08067F-1041-40D2-908F-1D8F3E445CB9}"/>
    <cellStyle name="20% - Accent2 8 2 3" xfId="12524" xr:uid="{8E273A5C-A32D-497D-9483-E5ADED429B02}"/>
    <cellStyle name="20% - Accent2 8 2 4" xfId="20953" xr:uid="{3D8644D7-382C-4A03-8C16-33E9C232843E}"/>
    <cellStyle name="20% - Accent2 8 3" xfId="6168" xr:uid="{00000000-0005-0000-0000-00003D010000}"/>
    <cellStyle name="20% - Accent2 8 3 2" xfId="14597" xr:uid="{66C39E6D-7BB5-48BE-BDDE-39A3BF17C7F8}"/>
    <cellStyle name="20% - Accent2 8 3 3" xfId="23025" xr:uid="{57471874-2F5F-4625-87E9-912068DB575F}"/>
    <cellStyle name="20% - Accent2 8 4" xfId="10379" xr:uid="{41DDEC55-FA6B-48F0-A3A4-D8AF23039516}"/>
    <cellStyle name="20% - Accent2 8 5" xfId="18808" xr:uid="{AFA3F2E3-C5FD-4350-B6B7-9F9D0A472321}"/>
    <cellStyle name="20% - Accent2 9" xfId="2273" xr:uid="{00000000-0005-0000-0000-00003E010000}"/>
    <cellStyle name="20% - Accent2 9 2" xfId="6581" xr:uid="{00000000-0005-0000-0000-00003F010000}"/>
    <cellStyle name="20% - Accent2 9 2 2" xfId="15010" xr:uid="{790E80B0-D2F1-4E6E-8635-4547DBBD7224}"/>
    <cellStyle name="20% - Accent2 9 2 3" xfId="23438" xr:uid="{E0D0F90F-34D9-49E9-B5A9-B09657A375C6}"/>
    <cellStyle name="20% - Accent2 9 3" xfId="10792" xr:uid="{40BBBB09-0A72-45AE-8762-FC8AFA066BFF}"/>
    <cellStyle name="20% - Accent2 9 4" xfId="19221" xr:uid="{AC4BD927-A121-49EA-B03C-E316DDD37205}"/>
    <cellStyle name="20% - Accent3" xfId="17" builtinId="38" customBuiltin="1"/>
    <cellStyle name="20% - Accent3 10" xfId="4523" xr:uid="{00000000-0005-0000-0000-000041010000}"/>
    <cellStyle name="20% - Accent3 10 2" xfId="12952" xr:uid="{50251C05-B0B6-40DA-9A8D-42A33BAEE76F}"/>
    <cellStyle name="20% - Accent3 10 3" xfId="21380" xr:uid="{9304A271-DD41-40C5-9F1D-AE40BDD14C62}"/>
    <cellStyle name="20% - Accent3 11" xfId="8734" xr:uid="{6B2DDBF4-EE00-4F2F-A6DD-5D49BA348471}"/>
    <cellStyle name="20% - Accent3 12" xfId="17163" xr:uid="{53BAFBDB-9482-4E8B-BB24-2285A17CF1D9}"/>
    <cellStyle name="20% - Accent3 2" xfId="18" xr:uid="{00000000-0005-0000-0000-000042010000}"/>
    <cellStyle name="20% - Accent3 2 10" xfId="8735" xr:uid="{A9818329-FE4D-4303-8BBD-CB326F788551}"/>
    <cellStyle name="20% - Accent3 2 11" xfId="17164" xr:uid="{5441E14D-A161-4ED7-9187-F2825CDF0C7B}"/>
    <cellStyle name="20% - Accent3 2 2" xfId="19" xr:uid="{00000000-0005-0000-0000-000043010000}"/>
    <cellStyle name="20% - Accent3 2 2 10" xfId="17165" xr:uid="{2728F5F4-F597-4D02-B6D3-DD8CF3A3D19B}"/>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14" xr:uid="{D90F0FA8-8BBE-4406-B920-13D04D478056}"/>
    <cellStyle name="20% - Accent3 2 2 2 2 2 2 3" xfId="23942" xr:uid="{E4D0B32E-6898-41D7-96C8-0600199703C4}"/>
    <cellStyle name="20% - Accent3 2 2 2 2 2 3" xfId="11296" xr:uid="{0D6AA646-8321-4042-A3A0-461DE24AB67F}"/>
    <cellStyle name="20% - Accent3 2 2 2 2 2 4" xfId="19725" xr:uid="{836FE3DE-06B5-4198-A4C8-568DFCCB3036}"/>
    <cellStyle name="20% - Accent3 2 2 2 2 3" xfId="4940" xr:uid="{00000000-0005-0000-0000-000048010000}"/>
    <cellStyle name="20% - Accent3 2 2 2 2 3 2" xfId="13369" xr:uid="{8B48F1CA-587D-402D-B6C2-4BAB9CEF909A}"/>
    <cellStyle name="20% - Accent3 2 2 2 2 3 3" xfId="21797" xr:uid="{0CBAFE81-57F6-41EB-8544-CF1E02907AA1}"/>
    <cellStyle name="20% - Accent3 2 2 2 2 4" xfId="9151" xr:uid="{EA63EA42-146B-45AC-B9B1-A7C05652D803}"/>
    <cellStyle name="20% - Accent3 2 2 2 2 5" xfId="17580" xr:uid="{8AC651F4-40C8-441B-987C-310ED9931C49}"/>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7" xr:uid="{91470C27-3365-48B3-98A5-D8F6CD7E445D}"/>
    <cellStyle name="20% - Accent3 2 2 2 3 2 2 3" xfId="24355" xr:uid="{9AB853FF-D44D-4B5C-A5AA-45366E9943A7}"/>
    <cellStyle name="20% - Accent3 2 2 2 3 2 3" xfId="11709" xr:uid="{02BD0240-C06F-4379-BB28-261EB0A62799}"/>
    <cellStyle name="20% - Accent3 2 2 2 3 2 4" xfId="20138" xr:uid="{A4C6B0EB-F365-4B44-9E71-D2888E192CD6}"/>
    <cellStyle name="20% - Accent3 2 2 2 3 3" xfId="5353" xr:uid="{00000000-0005-0000-0000-00004C010000}"/>
    <cellStyle name="20% - Accent3 2 2 2 3 3 2" xfId="13782" xr:uid="{9DEB1955-EEC7-4D68-A261-41A05BACC9A5}"/>
    <cellStyle name="20% - Accent3 2 2 2 3 3 3" xfId="22210" xr:uid="{AD95E39D-EE40-45B2-9A81-546B26651F7D}"/>
    <cellStyle name="20% - Accent3 2 2 2 3 4" xfId="9564" xr:uid="{C237F5A7-597D-4904-AFFE-3368665B7653}"/>
    <cellStyle name="20% - Accent3 2 2 2 3 5" xfId="17993" xr:uid="{C44E59F8-E325-47BA-A2F7-1CC6A38A83F2}"/>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40" xr:uid="{F3D3EBCE-3CD4-4CBE-AAEB-B103B1126BE2}"/>
    <cellStyle name="20% - Accent3 2 2 2 4 2 2 3" xfId="24768" xr:uid="{34826FB4-1228-40E4-96AE-01B38DD58F9B}"/>
    <cellStyle name="20% - Accent3 2 2 2 4 2 3" xfId="12122" xr:uid="{5476C939-7BB1-4D27-93A4-1FE20BE7EEFF}"/>
    <cellStyle name="20% - Accent3 2 2 2 4 2 4" xfId="20551" xr:uid="{807C99EA-3F67-476F-BAA5-C7D1BE9016CC}"/>
    <cellStyle name="20% - Accent3 2 2 2 4 3" xfId="5766" xr:uid="{00000000-0005-0000-0000-000050010000}"/>
    <cellStyle name="20% - Accent3 2 2 2 4 3 2" xfId="14195" xr:uid="{A1D5102A-F1AF-4368-844F-852738F9AA54}"/>
    <cellStyle name="20% - Accent3 2 2 2 4 3 3" xfId="22623" xr:uid="{FC2FEDFB-36AA-4849-AD84-E5A401916F9C}"/>
    <cellStyle name="20% - Accent3 2 2 2 4 4" xfId="9977" xr:uid="{6BDB4A99-2328-4B9B-804B-0933F2BF893B}"/>
    <cellStyle name="20% - Accent3 2 2 2 4 5" xfId="18406" xr:uid="{D02DF9E1-6D35-42BC-AE28-2BFB91746AEE}"/>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53" xr:uid="{2CE796CC-9F6E-4A7E-AE18-7BE265BCDF52}"/>
    <cellStyle name="20% - Accent3 2 2 2 5 2 2 3" xfId="25181" xr:uid="{A142EF78-63DB-4890-8775-A5A2A9B9D9D4}"/>
    <cellStyle name="20% - Accent3 2 2 2 5 2 3" xfId="12535" xr:uid="{24866742-E871-4317-970F-75A6BF0CFCF3}"/>
    <cellStyle name="20% - Accent3 2 2 2 5 2 4" xfId="20964" xr:uid="{A5893F2E-C3B9-4AA0-9CC3-D9CBE170983E}"/>
    <cellStyle name="20% - Accent3 2 2 2 5 3" xfId="6179" xr:uid="{00000000-0005-0000-0000-000054010000}"/>
    <cellStyle name="20% - Accent3 2 2 2 5 3 2" xfId="14608" xr:uid="{4B51BAD6-1427-4766-9FFF-556B94DAF5E4}"/>
    <cellStyle name="20% - Accent3 2 2 2 5 3 3" xfId="23036" xr:uid="{621D16CE-0E53-48E2-8215-FFC5027D0466}"/>
    <cellStyle name="20% - Accent3 2 2 2 5 4" xfId="10390" xr:uid="{0553F8D5-4394-4A9B-8280-CB793FA3063C}"/>
    <cellStyle name="20% - Accent3 2 2 2 5 5" xfId="18819" xr:uid="{D3F9A8D6-1CBB-4947-A450-9B28BA821271}"/>
    <cellStyle name="20% - Accent3 2 2 2 6" xfId="2284" xr:uid="{00000000-0005-0000-0000-000055010000}"/>
    <cellStyle name="20% - Accent3 2 2 2 6 2" xfId="6592" xr:uid="{00000000-0005-0000-0000-000056010000}"/>
    <cellStyle name="20% - Accent3 2 2 2 6 2 2" xfId="15021" xr:uid="{687168E9-3ED9-4B4F-AC6D-934875527DD6}"/>
    <cellStyle name="20% - Accent3 2 2 2 6 2 3" xfId="23449" xr:uid="{281EF75B-7DF4-4B9C-9FAE-6F5B373B67B4}"/>
    <cellStyle name="20% - Accent3 2 2 2 6 3" xfId="10803" xr:uid="{EA724795-C88D-45FD-A5B0-5A70489F40ED}"/>
    <cellStyle name="20% - Accent3 2 2 2 6 4" xfId="19232" xr:uid="{16B61F79-A54B-4E28-973A-11FF77D210B8}"/>
    <cellStyle name="20% - Accent3 2 2 2 7" xfId="4526" xr:uid="{00000000-0005-0000-0000-000057010000}"/>
    <cellStyle name="20% - Accent3 2 2 2 7 2" xfId="12955" xr:uid="{F1434861-8DDB-43CE-BFEF-7A8063947904}"/>
    <cellStyle name="20% - Accent3 2 2 2 7 3" xfId="21383" xr:uid="{AA3026E8-2CA7-45E8-9B08-7092EA5C6849}"/>
    <cellStyle name="20% - Accent3 2 2 2 8" xfId="8737" xr:uid="{C5E0D667-BA48-49FB-9127-D2B7B1C4B770}"/>
    <cellStyle name="20% - Accent3 2 2 2 9" xfId="17166" xr:uid="{9A744338-BBC4-469F-B8B3-46392B0A54E6}"/>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13" xr:uid="{74E3BE1E-E9C0-45C9-A6DE-7EDE2F7F6A5C}"/>
    <cellStyle name="20% - Accent3 2 2 3 2 2 3" xfId="23941" xr:uid="{F6F0350C-2F35-4FA3-B871-56FC2870AA29}"/>
    <cellStyle name="20% - Accent3 2 2 3 2 3" xfId="11295" xr:uid="{69E4AD70-C078-4610-A808-67B973402B2A}"/>
    <cellStyle name="20% - Accent3 2 2 3 2 4" xfId="19724" xr:uid="{BF812598-8738-4175-B702-E87F7A7F559F}"/>
    <cellStyle name="20% - Accent3 2 2 3 3" xfId="4939" xr:uid="{00000000-0005-0000-0000-00005B010000}"/>
    <cellStyle name="20% - Accent3 2 2 3 3 2" xfId="13368" xr:uid="{6953311A-295B-4E9D-BD06-803CBD9D591E}"/>
    <cellStyle name="20% - Accent3 2 2 3 3 3" xfId="21796" xr:uid="{E46A168D-2354-4F05-83FA-ED8B63173012}"/>
    <cellStyle name="20% - Accent3 2 2 3 4" xfId="9150" xr:uid="{C25A9D80-332B-4647-A189-A2725E3AFC71}"/>
    <cellStyle name="20% - Accent3 2 2 3 5" xfId="17579" xr:uid="{2D6EE5E1-2F34-49A7-BA7A-F191A903AF19}"/>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26" xr:uid="{0FFFB131-4667-45A5-84D9-8DE64521B4DD}"/>
    <cellStyle name="20% - Accent3 2 2 4 2 2 3" xfId="24354" xr:uid="{B9DE6FD7-F210-4FCE-99EE-C783CE3095A3}"/>
    <cellStyle name="20% - Accent3 2 2 4 2 3" xfId="11708" xr:uid="{22FAE4A6-FBBB-4B98-ADFB-F0185D584222}"/>
    <cellStyle name="20% - Accent3 2 2 4 2 4" xfId="20137" xr:uid="{D6B096C7-5BB9-4800-BEC5-AA145B08A88A}"/>
    <cellStyle name="20% - Accent3 2 2 4 3" xfId="5352" xr:uid="{00000000-0005-0000-0000-00005F010000}"/>
    <cellStyle name="20% - Accent3 2 2 4 3 2" xfId="13781" xr:uid="{86688EAA-7FA8-420A-9369-74A8DC0F8F13}"/>
    <cellStyle name="20% - Accent3 2 2 4 3 3" xfId="22209" xr:uid="{9DF4AC24-C1E1-433C-8EB6-7DDFA5F3E123}"/>
    <cellStyle name="20% - Accent3 2 2 4 4" xfId="9563" xr:uid="{B019766F-498F-43D6-94D8-445C904ADFD4}"/>
    <cellStyle name="20% - Accent3 2 2 4 5" xfId="17992" xr:uid="{1E33DCAC-982E-4545-86AC-C33AD460DF23}"/>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9" xr:uid="{EC6B42A2-A6BD-47FC-9D06-EB7C9BA11329}"/>
    <cellStyle name="20% - Accent3 2 2 5 2 2 3" xfId="24767" xr:uid="{0201D13C-9002-419B-96DC-6E940385314C}"/>
    <cellStyle name="20% - Accent3 2 2 5 2 3" xfId="12121" xr:uid="{E8358CDB-43AB-42DA-A75C-9703EDFB09AB}"/>
    <cellStyle name="20% - Accent3 2 2 5 2 4" xfId="20550" xr:uid="{6CECBB2A-6C89-48FF-A5E3-D60517279E02}"/>
    <cellStyle name="20% - Accent3 2 2 5 3" xfId="5765" xr:uid="{00000000-0005-0000-0000-000063010000}"/>
    <cellStyle name="20% - Accent3 2 2 5 3 2" xfId="14194" xr:uid="{12F8C701-E9A6-4EB6-8B92-1D65A208B170}"/>
    <cellStyle name="20% - Accent3 2 2 5 3 3" xfId="22622" xr:uid="{DB886443-36C0-45A2-BAD5-026967F84B7C}"/>
    <cellStyle name="20% - Accent3 2 2 5 4" xfId="9976" xr:uid="{B6E77EE7-C17B-4187-8004-93306310463B}"/>
    <cellStyle name="20% - Accent3 2 2 5 5" xfId="18405" xr:uid="{8B1A9FB6-83A2-4AFC-91DD-CFA23C30130F}"/>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52" xr:uid="{CEB2CE6B-E27E-4F04-A6BD-3AA1EED764D4}"/>
    <cellStyle name="20% - Accent3 2 2 6 2 2 3" xfId="25180" xr:uid="{EAE9B143-512F-499A-B610-7B44E2C507F1}"/>
    <cellStyle name="20% - Accent3 2 2 6 2 3" xfId="12534" xr:uid="{9319419C-7E4A-4C3A-9370-E9C7ACDFA38D}"/>
    <cellStyle name="20% - Accent3 2 2 6 2 4" xfId="20963" xr:uid="{922CBFFD-F680-4114-A0E4-41E79362F439}"/>
    <cellStyle name="20% - Accent3 2 2 6 3" xfId="6178" xr:uid="{00000000-0005-0000-0000-000067010000}"/>
    <cellStyle name="20% - Accent3 2 2 6 3 2" xfId="14607" xr:uid="{CF08EB04-F043-4BC7-849F-ABFED400D340}"/>
    <cellStyle name="20% - Accent3 2 2 6 3 3" xfId="23035" xr:uid="{1D19D116-D3C7-4F59-A0F5-B8E935AF5465}"/>
    <cellStyle name="20% - Accent3 2 2 6 4" xfId="10389" xr:uid="{33BE2766-C890-48AD-B6E3-EB13287820B2}"/>
    <cellStyle name="20% - Accent3 2 2 6 5" xfId="18818" xr:uid="{A448BFD0-BFC7-406B-829A-CF69E1417E43}"/>
    <cellStyle name="20% - Accent3 2 2 7" xfId="2283" xr:uid="{00000000-0005-0000-0000-000068010000}"/>
    <cellStyle name="20% - Accent3 2 2 7 2" xfId="6591" xr:uid="{00000000-0005-0000-0000-000069010000}"/>
    <cellStyle name="20% - Accent3 2 2 7 2 2" xfId="15020" xr:uid="{3699A585-4085-4FFE-8E6D-95690502D92A}"/>
    <cellStyle name="20% - Accent3 2 2 7 2 3" xfId="23448" xr:uid="{8C2FFAD1-E6A0-41D9-9E9E-6372315CFF70}"/>
    <cellStyle name="20% - Accent3 2 2 7 3" xfId="10802" xr:uid="{9DB4AADE-A35E-4410-A746-E0109176AE54}"/>
    <cellStyle name="20% - Accent3 2 2 7 4" xfId="19231" xr:uid="{54595B57-8565-45F8-9E77-BC334EC7B61E}"/>
    <cellStyle name="20% - Accent3 2 2 8" xfId="4525" xr:uid="{00000000-0005-0000-0000-00006A010000}"/>
    <cellStyle name="20% - Accent3 2 2 8 2" xfId="12954" xr:uid="{D3D3F680-40FA-4835-A64F-4E975CA07695}"/>
    <cellStyle name="20% - Accent3 2 2 8 3" xfId="21382" xr:uid="{815C3AD0-01D0-4335-A00D-D32B22E2ABAA}"/>
    <cellStyle name="20% - Accent3 2 2 9" xfId="8736" xr:uid="{2A5F3A04-1374-4C0B-B6AF-2EB3D06154E8}"/>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15" xr:uid="{299A82EA-48ED-4F65-8564-2DF56895674A}"/>
    <cellStyle name="20% - Accent3 2 3 2 2 2 3" xfId="23943" xr:uid="{F6096ECC-2783-4951-B516-555C8310C33C}"/>
    <cellStyle name="20% - Accent3 2 3 2 2 3" xfId="11297" xr:uid="{FF5FF10E-8559-4B5A-9443-33A68CAD1135}"/>
    <cellStyle name="20% - Accent3 2 3 2 2 4" xfId="19726" xr:uid="{58A3E03C-70C1-4467-9732-31A258C25A9B}"/>
    <cellStyle name="20% - Accent3 2 3 2 3" xfId="4941" xr:uid="{00000000-0005-0000-0000-00006F010000}"/>
    <cellStyle name="20% - Accent3 2 3 2 3 2" xfId="13370" xr:uid="{71F6B04A-B489-4B3B-B4CC-6181FF81E909}"/>
    <cellStyle name="20% - Accent3 2 3 2 3 3" xfId="21798" xr:uid="{1DE5820B-7E05-407C-838F-6937687DF51E}"/>
    <cellStyle name="20% - Accent3 2 3 2 4" xfId="9152" xr:uid="{1EAC5B88-5110-45E8-830F-E135D981642E}"/>
    <cellStyle name="20% - Accent3 2 3 2 5" xfId="17581" xr:uid="{1EA174ED-2060-4ED7-9198-C86317DE8630}"/>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8" xr:uid="{1B04D0E4-CCE4-4CEA-B738-CB3B755E9BD2}"/>
    <cellStyle name="20% - Accent3 2 3 3 2 2 3" xfId="24356" xr:uid="{967C947A-0F73-4604-A207-CB13F5030C04}"/>
    <cellStyle name="20% - Accent3 2 3 3 2 3" xfId="11710" xr:uid="{E22B958A-1180-4297-9341-A8F01BE23DFE}"/>
    <cellStyle name="20% - Accent3 2 3 3 2 4" xfId="20139" xr:uid="{A3C8AAC1-7DA6-40A0-ABF0-FB2D34B51767}"/>
    <cellStyle name="20% - Accent3 2 3 3 3" xfId="5354" xr:uid="{00000000-0005-0000-0000-000073010000}"/>
    <cellStyle name="20% - Accent3 2 3 3 3 2" xfId="13783" xr:uid="{C0FBA12F-62F8-419D-A03F-B7150226F761}"/>
    <cellStyle name="20% - Accent3 2 3 3 3 3" xfId="22211" xr:uid="{5CADC2C6-33F5-4B45-AD40-80AE51CAD3D9}"/>
    <cellStyle name="20% - Accent3 2 3 3 4" xfId="9565" xr:uid="{CDF6BFB4-4584-4488-958D-D262EF48C93E}"/>
    <cellStyle name="20% - Accent3 2 3 3 5" xfId="17994" xr:uid="{ABA55B89-0AF0-41C6-BD2A-C86AFC37FEDB}"/>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41" xr:uid="{864CF635-25D1-439F-8163-EAC73D4CA298}"/>
    <cellStyle name="20% - Accent3 2 3 4 2 2 3" xfId="24769" xr:uid="{1C07FAD4-AE6B-4F35-9624-19FC943BD62E}"/>
    <cellStyle name="20% - Accent3 2 3 4 2 3" xfId="12123" xr:uid="{44AC276D-725B-4251-B0F9-D998A2A49438}"/>
    <cellStyle name="20% - Accent3 2 3 4 2 4" xfId="20552" xr:uid="{FF335D10-3FDE-4A08-A1B0-DFBB21BB619A}"/>
    <cellStyle name="20% - Accent3 2 3 4 3" xfId="5767" xr:uid="{00000000-0005-0000-0000-000077010000}"/>
    <cellStyle name="20% - Accent3 2 3 4 3 2" xfId="14196" xr:uid="{58665B41-E036-4CF1-B82E-864C15673F0B}"/>
    <cellStyle name="20% - Accent3 2 3 4 3 3" xfId="22624" xr:uid="{C24F0D5E-BB31-4DD1-9EA8-6AD03D5E8C3E}"/>
    <cellStyle name="20% - Accent3 2 3 4 4" xfId="9978" xr:uid="{C8DF88D1-9B72-486C-9881-04C4B8000B02}"/>
    <cellStyle name="20% - Accent3 2 3 4 5" xfId="18407" xr:uid="{09B44105-A474-4A12-B3CB-F46D6EFEE54F}"/>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54" xr:uid="{FD63EFBC-18BE-4FEC-AADB-6026B01C1F75}"/>
    <cellStyle name="20% - Accent3 2 3 5 2 2 3" xfId="25182" xr:uid="{9EB756B1-24E8-4E3C-9E23-54F725B0E48F}"/>
    <cellStyle name="20% - Accent3 2 3 5 2 3" xfId="12536" xr:uid="{2629059A-5875-4DD4-A04B-B6DB6C2549A3}"/>
    <cellStyle name="20% - Accent3 2 3 5 2 4" xfId="20965" xr:uid="{487A876B-DDE8-423D-98CA-55A179AD5049}"/>
    <cellStyle name="20% - Accent3 2 3 5 3" xfId="6180" xr:uid="{00000000-0005-0000-0000-00007B010000}"/>
    <cellStyle name="20% - Accent3 2 3 5 3 2" xfId="14609" xr:uid="{7461769A-9884-45B0-BCA7-230F89E3CD1A}"/>
    <cellStyle name="20% - Accent3 2 3 5 3 3" xfId="23037" xr:uid="{C9F2A5C2-5C8B-4B8D-BD93-1BEFBA9FB122}"/>
    <cellStyle name="20% - Accent3 2 3 5 4" xfId="10391" xr:uid="{CC5437C1-E384-47D1-8226-D0B32E6CB8CD}"/>
    <cellStyle name="20% - Accent3 2 3 5 5" xfId="18820" xr:uid="{C5689C41-15A8-47A8-8A97-94F9F15AA6E8}"/>
    <cellStyle name="20% - Accent3 2 3 6" xfId="2285" xr:uid="{00000000-0005-0000-0000-00007C010000}"/>
    <cellStyle name="20% - Accent3 2 3 6 2" xfId="6593" xr:uid="{00000000-0005-0000-0000-00007D010000}"/>
    <cellStyle name="20% - Accent3 2 3 6 2 2" xfId="15022" xr:uid="{5468AF38-F534-441C-AE3D-2C1475AD3E93}"/>
    <cellStyle name="20% - Accent3 2 3 6 2 3" xfId="23450" xr:uid="{FC6A591B-776B-47F0-A8EA-83FA5B1A79EF}"/>
    <cellStyle name="20% - Accent3 2 3 6 3" xfId="10804" xr:uid="{C23CC3B6-2FDC-4F72-9ADD-3CD0B8019485}"/>
    <cellStyle name="20% - Accent3 2 3 6 4" xfId="19233" xr:uid="{662A5087-410C-46B2-AD3D-38312B534768}"/>
    <cellStyle name="20% - Accent3 2 3 7" xfId="4527" xr:uid="{00000000-0005-0000-0000-00007E010000}"/>
    <cellStyle name="20% - Accent3 2 3 7 2" xfId="12956" xr:uid="{7400B16A-FAE6-455A-907D-B8F94DBDA511}"/>
    <cellStyle name="20% - Accent3 2 3 7 3" xfId="21384" xr:uid="{4ED9E018-7C6B-402E-BB11-DAC0C0D15A93}"/>
    <cellStyle name="20% - Accent3 2 3 8" xfId="8738" xr:uid="{6D5B9D07-132E-46D4-89B4-D5E1014F1F72}"/>
    <cellStyle name="20% - Accent3 2 3 9" xfId="17167" xr:uid="{747B3A22-A009-4524-A9E0-E9C06AEAF932}"/>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12" xr:uid="{BE80AC0F-5436-4832-AF80-34A7E31FF98A}"/>
    <cellStyle name="20% - Accent3 2 4 2 2 3" xfId="23940" xr:uid="{1C29743F-E0A8-4B68-9AC6-109A1F6BDE71}"/>
    <cellStyle name="20% - Accent3 2 4 2 3" xfId="11294" xr:uid="{72A71F3A-5860-4957-A404-CA4629DD34B9}"/>
    <cellStyle name="20% - Accent3 2 4 2 4" xfId="19723" xr:uid="{7814104B-7A6A-4012-BFD4-5556677FE2A6}"/>
    <cellStyle name="20% - Accent3 2 4 3" xfId="4938" xr:uid="{00000000-0005-0000-0000-000082010000}"/>
    <cellStyle name="20% - Accent3 2 4 3 2" xfId="13367" xr:uid="{D619E142-35B7-48EC-AF5B-D939CAB8F2D6}"/>
    <cellStyle name="20% - Accent3 2 4 3 3" xfId="21795" xr:uid="{3DDBBA06-F9D7-4326-AE3D-8AFBAE553D18}"/>
    <cellStyle name="20% - Accent3 2 4 4" xfId="9149" xr:uid="{05FB21DC-E509-4E09-803E-0D71C295E227}"/>
    <cellStyle name="20% - Accent3 2 4 5" xfId="17578" xr:uid="{D58D3982-8BA1-49F9-BC0D-F5F98F94749C}"/>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25" xr:uid="{0FFFC2D7-12F5-49D8-A5CB-C8A760419D2D}"/>
    <cellStyle name="20% - Accent3 2 5 2 2 3" xfId="24353" xr:uid="{3E46B7C8-50AC-40BF-A923-97A70E225CD4}"/>
    <cellStyle name="20% - Accent3 2 5 2 3" xfId="11707" xr:uid="{02468902-ABC7-4D7F-98B9-D72E9C2E0B58}"/>
    <cellStyle name="20% - Accent3 2 5 2 4" xfId="20136" xr:uid="{B01A8803-B4E7-44FA-97AE-A939D89DF553}"/>
    <cellStyle name="20% - Accent3 2 5 3" xfId="5351" xr:uid="{00000000-0005-0000-0000-000086010000}"/>
    <cellStyle name="20% - Accent3 2 5 3 2" xfId="13780" xr:uid="{6437B423-DD27-4214-B408-980CE90EAE12}"/>
    <cellStyle name="20% - Accent3 2 5 3 3" xfId="22208" xr:uid="{7AD85E6E-269D-495D-A145-612F5D922A1B}"/>
    <cellStyle name="20% - Accent3 2 5 4" xfId="9562" xr:uid="{E24CC500-7AC7-4EB4-B343-8B8C9729ED85}"/>
    <cellStyle name="20% - Accent3 2 5 5" xfId="17991" xr:uid="{B8B6C188-D4FD-4703-81D7-07D493A5DF26}"/>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8" xr:uid="{56CB84BE-4086-4E01-91EA-C409A60AE92E}"/>
    <cellStyle name="20% - Accent3 2 6 2 2 3" xfId="24766" xr:uid="{CB276C04-C100-45EC-9DB9-E9D2FB81E584}"/>
    <cellStyle name="20% - Accent3 2 6 2 3" xfId="12120" xr:uid="{7695DD8B-B832-467B-8960-1DAD100789D7}"/>
    <cellStyle name="20% - Accent3 2 6 2 4" xfId="20549" xr:uid="{A20FB0DE-3768-401F-94D0-2335D670CC88}"/>
    <cellStyle name="20% - Accent3 2 6 3" xfId="5764" xr:uid="{00000000-0005-0000-0000-00008A010000}"/>
    <cellStyle name="20% - Accent3 2 6 3 2" xfId="14193" xr:uid="{6B055776-16BF-4D86-A0D8-6CA274A76C24}"/>
    <cellStyle name="20% - Accent3 2 6 3 3" xfId="22621" xr:uid="{6D0850F3-FBCB-4470-8E4D-0268AFC82F90}"/>
    <cellStyle name="20% - Accent3 2 6 4" xfId="9975" xr:uid="{4F66AB8E-0440-4059-A6C2-9C68218C2D51}"/>
    <cellStyle name="20% - Accent3 2 6 5" xfId="18404" xr:uid="{1100F575-513A-49AD-BF27-347C72B5C8E7}"/>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51" xr:uid="{882AF88A-FDCF-4B07-959F-B0F55365D344}"/>
    <cellStyle name="20% - Accent3 2 7 2 2 3" xfId="25179" xr:uid="{B5A329A7-40D2-4870-849E-AB47F8DCAB45}"/>
    <cellStyle name="20% - Accent3 2 7 2 3" xfId="12533" xr:uid="{7B5F550C-A26B-4504-B040-2B4452205EE5}"/>
    <cellStyle name="20% - Accent3 2 7 2 4" xfId="20962" xr:uid="{5697BFAE-90F8-4838-9B6B-18357DEDF596}"/>
    <cellStyle name="20% - Accent3 2 7 3" xfId="6177" xr:uid="{00000000-0005-0000-0000-00008E010000}"/>
    <cellStyle name="20% - Accent3 2 7 3 2" xfId="14606" xr:uid="{6655EA74-73E6-487C-A5E9-551D8A072E92}"/>
    <cellStyle name="20% - Accent3 2 7 3 3" xfId="23034" xr:uid="{1D36EC08-F62A-415B-910A-0B5A6317C24F}"/>
    <cellStyle name="20% - Accent3 2 7 4" xfId="10388" xr:uid="{B0FE94E2-1234-479D-B35D-5FDBDB043572}"/>
    <cellStyle name="20% - Accent3 2 7 5" xfId="18817" xr:uid="{9C8EB2C5-BE21-4928-910F-318D9E3AF2E8}"/>
    <cellStyle name="20% - Accent3 2 8" xfId="2282" xr:uid="{00000000-0005-0000-0000-00008F010000}"/>
    <cellStyle name="20% - Accent3 2 8 2" xfId="6590" xr:uid="{00000000-0005-0000-0000-000090010000}"/>
    <cellStyle name="20% - Accent3 2 8 2 2" xfId="15019" xr:uid="{FC778281-DD10-44D9-9C47-8C5DEAF42705}"/>
    <cellStyle name="20% - Accent3 2 8 2 3" xfId="23447" xr:uid="{2A77ADE5-D895-42E3-9DB9-712F9A1F7F0B}"/>
    <cellStyle name="20% - Accent3 2 8 3" xfId="10801" xr:uid="{D6FBE0E1-F2D6-43C2-82E2-EF400E3F79A6}"/>
    <cellStyle name="20% - Accent3 2 8 4" xfId="19230" xr:uid="{1A2629D6-A950-4E2F-BFF4-81CC340BD235}"/>
    <cellStyle name="20% - Accent3 2 9" xfId="4524" xr:uid="{00000000-0005-0000-0000-000091010000}"/>
    <cellStyle name="20% - Accent3 2 9 2" xfId="12953" xr:uid="{2110BC2A-C4F5-4ED3-A5C8-5F256B24165C}"/>
    <cellStyle name="20% - Accent3 2 9 3" xfId="21381" xr:uid="{3BF63D1F-4B62-462B-ADE1-03A9BB366F75}"/>
    <cellStyle name="20% - Accent3 3" xfId="22" xr:uid="{00000000-0005-0000-0000-000092010000}"/>
    <cellStyle name="20% - Accent3 3 10" xfId="17168" xr:uid="{C3220F1E-964D-4A1C-BAE0-EED134BC84D4}"/>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7" xr:uid="{BCE83345-C131-4231-95CD-DF3A12946855}"/>
    <cellStyle name="20% - Accent3 3 2 2 2 2 3" xfId="23945" xr:uid="{4C4F307D-2271-40B1-828B-6FA5B3FE6EFA}"/>
    <cellStyle name="20% - Accent3 3 2 2 2 3" xfId="11299" xr:uid="{EDC477B3-60FF-4A4E-AAB3-EEEB39F8C9E2}"/>
    <cellStyle name="20% - Accent3 3 2 2 2 4" xfId="19728" xr:uid="{0C263EA1-9323-4744-B752-F258243ED859}"/>
    <cellStyle name="20% - Accent3 3 2 2 3" xfId="4943" xr:uid="{00000000-0005-0000-0000-000097010000}"/>
    <cellStyle name="20% - Accent3 3 2 2 3 2" xfId="13372" xr:uid="{CCAEBAD8-28B2-4F89-95DC-A591BC17E83E}"/>
    <cellStyle name="20% - Accent3 3 2 2 3 3" xfId="21800" xr:uid="{D8BA3E57-0BA5-444B-A520-C946B118A2F6}"/>
    <cellStyle name="20% - Accent3 3 2 2 4" xfId="9154" xr:uid="{A48FFAAD-8961-43C5-AE1C-3468391CD939}"/>
    <cellStyle name="20% - Accent3 3 2 2 5" xfId="17583" xr:uid="{50D78DF6-7BCA-41A7-AF7D-4B4F2E6CF5A1}"/>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30" xr:uid="{E68BABCD-AB7D-4442-AB75-48C976F2392C}"/>
    <cellStyle name="20% - Accent3 3 2 3 2 2 3" xfId="24358" xr:uid="{57CB3A94-8AE6-4FB9-BD8E-24228F74AC77}"/>
    <cellStyle name="20% - Accent3 3 2 3 2 3" xfId="11712" xr:uid="{B1D5A39C-1FF4-41F6-8F27-9198FD2DBEA7}"/>
    <cellStyle name="20% - Accent3 3 2 3 2 4" xfId="20141" xr:uid="{60FAE372-3AB0-40D3-8A5E-9D0009442C7A}"/>
    <cellStyle name="20% - Accent3 3 2 3 3" xfId="5356" xr:uid="{00000000-0005-0000-0000-00009B010000}"/>
    <cellStyle name="20% - Accent3 3 2 3 3 2" xfId="13785" xr:uid="{D89EA278-FBA7-43C1-B9A9-88421643B857}"/>
    <cellStyle name="20% - Accent3 3 2 3 3 3" xfId="22213" xr:uid="{A8C56C51-2CF8-4C7D-A1AB-0F4F083F53FF}"/>
    <cellStyle name="20% - Accent3 3 2 3 4" xfId="9567" xr:uid="{98BC189C-57EA-4478-ADA5-889BEC467F84}"/>
    <cellStyle name="20% - Accent3 3 2 3 5" xfId="17996" xr:uid="{6CC15A29-9516-4DC9-B666-339269AEC0C8}"/>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43" xr:uid="{DB2C7B41-5288-4763-A789-4674956D25BA}"/>
    <cellStyle name="20% - Accent3 3 2 4 2 2 3" xfId="24771" xr:uid="{7041C52A-4EAE-43B1-A52E-1A59E4B3462F}"/>
    <cellStyle name="20% - Accent3 3 2 4 2 3" xfId="12125" xr:uid="{A1FD3524-E075-4341-B62A-82E09DD4F93F}"/>
    <cellStyle name="20% - Accent3 3 2 4 2 4" xfId="20554" xr:uid="{014CAD0E-2BAD-4551-B4E3-8996D2660319}"/>
    <cellStyle name="20% - Accent3 3 2 4 3" xfId="5769" xr:uid="{00000000-0005-0000-0000-00009F010000}"/>
    <cellStyle name="20% - Accent3 3 2 4 3 2" xfId="14198" xr:uid="{AAE90649-1F02-4FE3-8148-8EB4066C18A0}"/>
    <cellStyle name="20% - Accent3 3 2 4 3 3" xfId="22626" xr:uid="{9DF2AD2A-A05F-42AD-A222-4554953A353A}"/>
    <cellStyle name="20% - Accent3 3 2 4 4" xfId="9980" xr:uid="{01633ACD-6ACF-4F2D-A8F5-7652A326C13B}"/>
    <cellStyle name="20% - Accent3 3 2 4 5" xfId="18409" xr:uid="{CDE79462-C11A-43A3-B7B6-6327C751F01A}"/>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56" xr:uid="{7EA5190D-111A-42A0-A3E8-72268D22D01D}"/>
    <cellStyle name="20% - Accent3 3 2 5 2 2 3" xfId="25184" xr:uid="{C37F494D-AF44-4169-8D9F-E95A9296EFBC}"/>
    <cellStyle name="20% - Accent3 3 2 5 2 3" xfId="12538" xr:uid="{35D1A674-5E7E-46F8-88E9-B2BE4A7EB971}"/>
    <cellStyle name="20% - Accent3 3 2 5 2 4" xfId="20967" xr:uid="{B0065E04-3FC9-4E9E-862E-E3FEC2D1075F}"/>
    <cellStyle name="20% - Accent3 3 2 5 3" xfId="6182" xr:uid="{00000000-0005-0000-0000-0000A3010000}"/>
    <cellStyle name="20% - Accent3 3 2 5 3 2" xfId="14611" xr:uid="{F06C7408-2CA5-40A9-9F91-D7A18D310AF0}"/>
    <cellStyle name="20% - Accent3 3 2 5 3 3" xfId="23039" xr:uid="{7D3499C5-0DCD-4414-AD28-915DA6DA1302}"/>
    <cellStyle name="20% - Accent3 3 2 5 4" xfId="10393" xr:uid="{40822B9A-5CC8-41A9-9619-BF36AAC4C363}"/>
    <cellStyle name="20% - Accent3 3 2 5 5" xfId="18822" xr:uid="{FFC08B30-ED76-49B0-9E02-53F616DC3CB0}"/>
    <cellStyle name="20% - Accent3 3 2 6" xfId="2287" xr:uid="{00000000-0005-0000-0000-0000A4010000}"/>
    <cellStyle name="20% - Accent3 3 2 6 2" xfId="6595" xr:uid="{00000000-0005-0000-0000-0000A5010000}"/>
    <cellStyle name="20% - Accent3 3 2 6 2 2" xfId="15024" xr:uid="{0486EC83-9555-418E-9234-951D67BD249E}"/>
    <cellStyle name="20% - Accent3 3 2 6 2 3" xfId="23452" xr:uid="{F2D75464-0416-42BB-B86E-4C0C0B96BC05}"/>
    <cellStyle name="20% - Accent3 3 2 6 3" xfId="10806" xr:uid="{09ADFB7E-52D7-4A5F-9316-F1EC68AD0C30}"/>
    <cellStyle name="20% - Accent3 3 2 6 4" xfId="19235" xr:uid="{A5122952-AB14-488D-A426-9F2D45D33658}"/>
    <cellStyle name="20% - Accent3 3 2 7" xfId="4529" xr:uid="{00000000-0005-0000-0000-0000A6010000}"/>
    <cellStyle name="20% - Accent3 3 2 7 2" xfId="12958" xr:uid="{DD6658D6-D942-4F3D-B873-B493A79C99D6}"/>
    <cellStyle name="20% - Accent3 3 2 7 3" xfId="21386" xr:uid="{C5148794-7785-4454-9497-53F25052838B}"/>
    <cellStyle name="20% - Accent3 3 2 8" xfId="8740" xr:uid="{26A21A7D-8090-4B2E-BA0E-6A3C524F9993}"/>
    <cellStyle name="20% - Accent3 3 2 9" xfId="17169" xr:uid="{A397B7F0-6772-496D-B96A-C4B511F57C80}"/>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16" xr:uid="{DD435F71-6A93-4403-9D84-B5B488D776EA}"/>
    <cellStyle name="20% - Accent3 3 3 2 2 3" xfId="23944" xr:uid="{73B77A72-A5D1-436B-A411-F9B7E418F3B9}"/>
    <cellStyle name="20% - Accent3 3 3 2 3" xfId="11298" xr:uid="{22C46FEB-4551-48DA-8702-78C7C3581833}"/>
    <cellStyle name="20% - Accent3 3 3 2 4" xfId="19727" xr:uid="{FBD56125-496F-4640-AD3F-D685DCD3659E}"/>
    <cellStyle name="20% - Accent3 3 3 3" xfId="4942" xr:uid="{00000000-0005-0000-0000-0000AA010000}"/>
    <cellStyle name="20% - Accent3 3 3 3 2" xfId="13371" xr:uid="{7C1FECEC-21DD-4B00-809B-BF370546ADE3}"/>
    <cellStyle name="20% - Accent3 3 3 3 3" xfId="21799" xr:uid="{9754DB72-D39C-4FD1-B161-B03515B37546}"/>
    <cellStyle name="20% - Accent3 3 3 4" xfId="9153" xr:uid="{FA5A63E5-491C-471C-A7DB-DA6F94B5B9C1}"/>
    <cellStyle name="20% - Accent3 3 3 5" xfId="17582" xr:uid="{D13370F6-02BB-4A98-B1AF-AFD963F12DA4}"/>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9" xr:uid="{3804E68C-6681-4F72-B519-7CC0FD017F2D}"/>
    <cellStyle name="20% - Accent3 3 4 2 2 3" xfId="24357" xr:uid="{F43B4E37-A617-438B-936B-688D0FB7EE72}"/>
    <cellStyle name="20% - Accent3 3 4 2 3" xfId="11711" xr:uid="{7BE76DE8-A06F-4C94-AE25-DE20A05307EF}"/>
    <cellStyle name="20% - Accent3 3 4 2 4" xfId="20140" xr:uid="{3F9E1A4C-496E-4F08-A074-CE8B30E35546}"/>
    <cellStyle name="20% - Accent3 3 4 3" xfId="5355" xr:uid="{00000000-0005-0000-0000-0000AE010000}"/>
    <cellStyle name="20% - Accent3 3 4 3 2" xfId="13784" xr:uid="{1863B541-4D4B-4039-AA06-F8D6EF5DFF14}"/>
    <cellStyle name="20% - Accent3 3 4 3 3" xfId="22212" xr:uid="{10705861-AE08-4ED2-BCAB-172F01851751}"/>
    <cellStyle name="20% - Accent3 3 4 4" xfId="9566" xr:uid="{472BE2ED-4E80-4D26-8EB2-2592A7E79DE6}"/>
    <cellStyle name="20% - Accent3 3 4 5" xfId="17995" xr:uid="{720F3955-9DFF-44EB-BA44-4F0227989259}"/>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42" xr:uid="{6693AE52-3CF4-41BB-89D7-569ED2131E5F}"/>
    <cellStyle name="20% - Accent3 3 5 2 2 3" xfId="24770" xr:uid="{46AC6A4A-54BC-41EA-BEC3-55DCEC31AA63}"/>
    <cellStyle name="20% - Accent3 3 5 2 3" xfId="12124" xr:uid="{AB8096B9-B389-4439-B287-1956843DFA2E}"/>
    <cellStyle name="20% - Accent3 3 5 2 4" xfId="20553" xr:uid="{EBCDE7AC-72A1-4848-B5A7-2BF56B0474BD}"/>
    <cellStyle name="20% - Accent3 3 5 3" xfId="5768" xr:uid="{00000000-0005-0000-0000-0000B2010000}"/>
    <cellStyle name="20% - Accent3 3 5 3 2" xfId="14197" xr:uid="{F2697CED-0C24-4820-9784-D27374F9009D}"/>
    <cellStyle name="20% - Accent3 3 5 3 3" xfId="22625" xr:uid="{B4CBE91C-2A24-439A-A2A1-C1049631CED9}"/>
    <cellStyle name="20% - Accent3 3 5 4" xfId="9979" xr:uid="{3026B21F-0381-434A-99C5-0686805A615F}"/>
    <cellStyle name="20% - Accent3 3 5 5" xfId="18408" xr:uid="{19111825-0A59-4057-B302-A058AFF73051}"/>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55" xr:uid="{CC3AFFDB-EA13-4BB3-A909-7C05493E14D2}"/>
    <cellStyle name="20% - Accent3 3 6 2 2 3" xfId="25183" xr:uid="{C0A4869A-4B2E-4E76-8D01-CE3FC1744335}"/>
    <cellStyle name="20% - Accent3 3 6 2 3" xfId="12537" xr:uid="{3FE1F1B7-6526-4A47-9D86-C4528AF4D57F}"/>
    <cellStyle name="20% - Accent3 3 6 2 4" xfId="20966" xr:uid="{0B03DE48-B07C-49FF-92DC-C22B91B71D8E}"/>
    <cellStyle name="20% - Accent3 3 6 3" xfId="6181" xr:uid="{00000000-0005-0000-0000-0000B6010000}"/>
    <cellStyle name="20% - Accent3 3 6 3 2" xfId="14610" xr:uid="{32ADCEDF-D678-4D0F-937E-A32ABA885F9E}"/>
    <cellStyle name="20% - Accent3 3 6 3 3" xfId="23038" xr:uid="{5A79A31B-DE5C-406A-BFB0-ADFB15E04281}"/>
    <cellStyle name="20% - Accent3 3 6 4" xfId="10392" xr:uid="{8B780234-59C4-4118-8950-41CD62B85020}"/>
    <cellStyle name="20% - Accent3 3 6 5" xfId="18821" xr:uid="{B051128B-F781-4174-BD3F-EBC62D2A9C0C}"/>
    <cellStyle name="20% - Accent3 3 7" xfId="2286" xr:uid="{00000000-0005-0000-0000-0000B7010000}"/>
    <cellStyle name="20% - Accent3 3 7 2" xfId="6594" xr:uid="{00000000-0005-0000-0000-0000B8010000}"/>
    <cellStyle name="20% - Accent3 3 7 2 2" xfId="15023" xr:uid="{3CC27587-B7B1-4946-8A1A-6C4943B56A68}"/>
    <cellStyle name="20% - Accent3 3 7 2 3" xfId="23451" xr:uid="{70859E0E-BCF6-43B0-850B-B6E759F2097D}"/>
    <cellStyle name="20% - Accent3 3 7 3" xfId="10805" xr:uid="{06479C45-C1AF-459A-8740-9B5FAC255CBE}"/>
    <cellStyle name="20% - Accent3 3 7 4" xfId="19234" xr:uid="{62EAD409-D5BB-4DF7-88F8-A5C6D88DDEBB}"/>
    <cellStyle name="20% - Accent3 3 8" xfId="4528" xr:uid="{00000000-0005-0000-0000-0000B9010000}"/>
    <cellStyle name="20% - Accent3 3 8 2" xfId="12957" xr:uid="{E9588DA3-E08B-4FD0-986D-89A185A656CB}"/>
    <cellStyle name="20% - Accent3 3 8 3" xfId="21385" xr:uid="{A15BB27E-4F6E-4E9D-A290-DA2E940F236D}"/>
    <cellStyle name="20% - Accent3 3 9" xfId="8739" xr:uid="{26B4B170-8F40-4893-A98C-DC792C0995ED}"/>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8" xr:uid="{58F925B6-C58E-446D-9B84-03B9E3EABDC5}"/>
    <cellStyle name="20% - Accent3 4 2 2 2 3" xfId="23946" xr:uid="{38C507D0-D827-4D53-BEB0-C9A731E55214}"/>
    <cellStyle name="20% - Accent3 4 2 2 3" xfId="11300" xr:uid="{1D362498-A59B-4576-BD31-57E6D433CDFA}"/>
    <cellStyle name="20% - Accent3 4 2 2 4" xfId="19729" xr:uid="{586CBB8F-15EB-4545-977C-F652287FF997}"/>
    <cellStyle name="20% - Accent3 4 2 3" xfId="4944" xr:uid="{00000000-0005-0000-0000-0000BE010000}"/>
    <cellStyle name="20% - Accent3 4 2 3 2" xfId="13373" xr:uid="{056ABA8D-9DCE-4EDD-BC47-9CF194AA6411}"/>
    <cellStyle name="20% - Accent3 4 2 3 3" xfId="21801" xr:uid="{E47BB2E0-0109-4879-B7EB-7E6F051B7CED}"/>
    <cellStyle name="20% - Accent3 4 2 4" xfId="9155" xr:uid="{20C9D778-E392-48A1-B13E-9168E1549ECB}"/>
    <cellStyle name="20% - Accent3 4 2 5" xfId="17584" xr:uid="{676E2D6D-4DAE-44AF-9434-760E047F0FBC}"/>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31" xr:uid="{7BB5F313-3726-4E02-ABB1-813430D0FFBC}"/>
    <cellStyle name="20% - Accent3 4 3 2 2 3" xfId="24359" xr:uid="{537F2B25-7A9B-48D5-93E0-9573F45855EE}"/>
    <cellStyle name="20% - Accent3 4 3 2 3" xfId="11713" xr:uid="{2B9B771A-A1CD-48C6-8FCF-F5F404C15DDD}"/>
    <cellStyle name="20% - Accent3 4 3 2 4" xfId="20142" xr:uid="{5B2BEAB4-D82D-416D-90FB-E271651B760F}"/>
    <cellStyle name="20% - Accent3 4 3 3" xfId="5357" xr:uid="{00000000-0005-0000-0000-0000C2010000}"/>
    <cellStyle name="20% - Accent3 4 3 3 2" xfId="13786" xr:uid="{6B1510E3-99D9-427D-82BF-442B807014F7}"/>
    <cellStyle name="20% - Accent3 4 3 3 3" xfId="22214" xr:uid="{4B15A81A-F0D6-4FED-B7FF-407CB059F4B5}"/>
    <cellStyle name="20% - Accent3 4 3 4" xfId="9568" xr:uid="{0AEB1D6F-8CCB-4680-818C-C156D6EAA98A}"/>
    <cellStyle name="20% - Accent3 4 3 5" xfId="17997" xr:uid="{F99ECD33-AECE-4A0F-AB1F-5980BA2A3F30}"/>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44" xr:uid="{3A0DAA85-6306-4891-8320-9B59448A6EBC}"/>
    <cellStyle name="20% - Accent3 4 4 2 2 3" xfId="24772" xr:uid="{618352E6-B262-488B-9B1E-65EC099A791C}"/>
    <cellStyle name="20% - Accent3 4 4 2 3" xfId="12126" xr:uid="{D38971B2-8E17-4B4C-A2E7-14A7A547E8D9}"/>
    <cellStyle name="20% - Accent3 4 4 2 4" xfId="20555" xr:uid="{A1BF4F8A-C575-427F-A631-064519F75246}"/>
    <cellStyle name="20% - Accent3 4 4 3" xfId="5770" xr:uid="{00000000-0005-0000-0000-0000C6010000}"/>
    <cellStyle name="20% - Accent3 4 4 3 2" xfId="14199" xr:uid="{15D60F62-3BD0-42ED-B149-5F5D8C28E8FD}"/>
    <cellStyle name="20% - Accent3 4 4 3 3" xfId="22627" xr:uid="{0BAC8D86-4582-44E7-BF79-AD8B38AF62FE}"/>
    <cellStyle name="20% - Accent3 4 4 4" xfId="9981" xr:uid="{0711DC2A-32FB-4F23-9877-7C1EC1BD4F95}"/>
    <cellStyle name="20% - Accent3 4 4 5" xfId="18410" xr:uid="{FCFF3887-B2A2-479A-BCC1-2D2A0B3AD8A0}"/>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7" xr:uid="{7F7AEE25-0D04-4698-949D-5A8DBD6CEB48}"/>
    <cellStyle name="20% - Accent3 4 5 2 2 3" xfId="25185" xr:uid="{2B0577FF-66DC-4A37-9041-88D7C257D3E2}"/>
    <cellStyle name="20% - Accent3 4 5 2 3" xfId="12539" xr:uid="{A8A6A8D2-173C-4C4B-815C-AD0C1902A397}"/>
    <cellStyle name="20% - Accent3 4 5 2 4" xfId="20968" xr:uid="{8EEE25B3-8A80-4250-8862-719F6C28BDB0}"/>
    <cellStyle name="20% - Accent3 4 5 3" xfId="6183" xr:uid="{00000000-0005-0000-0000-0000CA010000}"/>
    <cellStyle name="20% - Accent3 4 5 3 2" xfId="14612" xr:uid="{DA7A8D21-FBED-4AE5-8B73-6F0A1BA46F2A}"/>
    <cellStyle name="20% - Accent3 4 5 3 3" xfId="23040" xr:uid="{80CF2BBD-7FE4-4306-A1F9-097F8326F9D1}"/>
    <cellStyle name="20% - Accent3 4 5 4" xfId="10394" xr:uid="{8EC9A717-A040-46B9-AE56-83CFC9474512}"/>
    <cellStyle name="20% - Accent3 4 5 5" xfId="18823" xr:uid="{A735523A-6181-4528-883B-18FB21A9244F}"/>
    <cellStyle name="20% - Accent3 4 6" xfId="2288" xr:uid="{00000000-0005-0000-0000-0000CB010000}"/>
    <cellStyle name="20% - Accent3 4 6 2" xfId="6596" xr:uid="{00000000-0005-0000-0000-0000CC010000}"/>
    <cellStyle name="20% - Accent3 4 6 2 2" xfId="15025" xr:uid="{1FAC895D-5688-400D-B66D-8BD7F29EC737}"/>
    <cellStyle name="20% - Accent3 4 6 2 3" xfId="23453" xr:uid="{62423E30-A34F-43DE-892A-80366E1655BD}"/>
    <cellStyle name="20% - Accent3 4 6 3" xfId="10807" xr:uid="{B8B0444B-6B7A-4B75-B8DB-F271863ECE74}"/>
    <cellStyle name="20% - Accent3 4 6 4" xfId="19236" xr:uid="{4A7E0276-936E-4A3A-BC96-81D12F5D9BFC}"/>
    <cellStyle name="20% - Accent3 4 7" xfId="4530" xr:uid="{00000000-0005-0000-0000-0000CD010000}"/>
    <cellStyle name="20% - Accent3 4 7 2" xfId="12959" xr:uid="{471C2A65-C182-4339-8615-AE00B5636BA3}"/>
    <cellStyle name="20% - Accent3 4 7 3" xfId="21387" xr:uid="{D93203D3-5471-4A44-A73E-2549398F6783}"/>
    <cellStyle name="20% - Accent3 4 8" xfId="8741" xr:uid="{229A0A6A-6BE1-46E6-84C8-72B6DFCDB3FC}"/>
    <cellStyle name="20% - Accent3 4 9" xfId="17170" xr:uid="{0B9E053E-E06E-4EEE-B049-8201C0AA8965}"/>
    <cellStyle name="20% - Accent3 5" xfId="587" xr:uid="{00000000-0005-0000-0000-0000CE010000}"/>
    <cellStyle name="20% - Accent3 5 2" xfId="2858" xr:uid="{00000000-0005-0000-0000-0000CF010000}"/>
    <cellStyle name="20% - Accent3 5 2 2" xfId="7082" xr:uid="{00000000-0005-0000-0000-0000D0010000}"/>
    <cellStyle name="20% - Accent3 5 2 2 2" xfId="15511" xr:uid="{CD38F173-BEDA-4C41-865A-2627E3F27BDC}"/>
    <cellStyle name="20% - Accent3 5 2 2 3" xfId="23939" xr:uid="{4BFE607A-914F-405C-A2E2-01011A042D61}"/>
    <cellStyle name="20% - Accent3 5 2 3" xfId="11293" xr:uid="{18408396-86C6-4B64-A026-4B8632C8B649}"/>
    <cellStyle name="20% - Accent3 5 2 4" xfId="19722" xr:uid="{0B307670-CFAA-4887-9164-8902C28E4ED9}"/>
    <cellStyle name="20% - Accent3 5 3" xfId="4937" xr:uid="{00000000-0005-0000-0000-0000D1010000}"/>
    <cellStyle name="20% - Accent3 5 3 2" xfId="13366" xr:uid="{438A1008-A7D5-4FD5-9506-AF903C47AB76}"/>
    <cellStyle name="20% - Accent3 5 3 3" xfId="21794" xr:uid="{A250AB6D-63C8-4A3A-A854-0C01A3AB1889}"/>
    <cellStyle name="20% - Accent3 5 4" xfId="9148" xr:uid="{A30AC663-061E-4C21-805D-77048648F0C9}"/>
    <cellStyle name="20% - Accent3 5 5" xfId="17577" xr:uid="{675D2700-BF15-4625-B370-02FA38D50E0C}"/>
    <cellStyle name="20% - Accent3 6" xfId="1040" xr:uid="{00000000-0005-0000-0000-0000D2010000}"/>
    <cellStyle name="20% - Accent3 6 2" xfId="3271" xr:uid="{00000000-0005-0000-0000-0000D3010000}"/>
    <cellStyle name="20% - Accent3 6 2 2" xfId="7495" xr:uid="{00000000-0005-0000-0000-0000D4010000}"/>
    <cellStyle name="20% - Accent3 6 2 2 2" xfId="15924" xr:uid="{19F0B908-C7E0-43B9-A993-5B527AAFB5DD}"/>
    <cellStyle name="20% - Accent3 6 2 2 3" xfId="24352" xr:uid="{09B517B9-29EE-4A5A-B2EC-5386420123CF}"/>
    <cellStyle name="20% - Accent3 6 2 3" xfId="11706" xr:uid="{814917F4-51F7-48B3-91AA-BEC2F76EBABC}"/>
    <cellStyle name="20% - Accent3 6 2 4" xfId="20135" xr:uid="{1A0363D1-9C0C-4D0F-B04D-6674BB467F78}"/>
    <cellStyle name="20% - Accent3 6 3" xfId="5350" xr:uid="{00000000-0005-0000-0000-0000D5010000}"/>
    <cellStyle name="20% - Accent3 6 3 2" xfId="13779" xr:uid="{5A51DD19-3082-4D5D-8F12-29948460E81E}"/>
    <cellStyle name="20% - Accent3 6 3 3" xfId="22207" xr:uid="{A4526FB7-5563-416B-917B-61C7AD294127}"/>
    <cellStyle name="20% - Accent3 6 4" xfId="9561" xr:uid="{A0E0A13E-9FD2-4D7C-B632-9DC441B4D261}"/>
    <cellStyle name="20% - Accent3 6 5" xfId="17990" xr:uid="{C69EA6CE-E20D-48A7-BA93-6C4B24F8527F}"/>
    <cellStyle name="20% - Accent3 7" xfId="1454" xr:uid="{00000000-0005-0000-0000-0000D6010000}"/>
    <cellStyle name="20% - Accent3 7 2" xfId="3684" xr:uid="{00000000-0005-0000-0000-0000D7010000}"/>
    <cellStyle name="20% - Accent3 7 2 2" xfId="7908" xr:uid="{00000000-0005-0000-0000-0000D8010000}"/>
    <cellStyle name="20% - Accent3 7 2 2 2" xfId="16337" xr:uid="{2D140ED7-AA97-46AA-A498-062FEE7BE1D8}"/>
    <cellStyle name="20% - Accent3 7 2 2 3" xfId="24765" xr:uid="{F51515D3-31AD-44C5-A0C8-14A79B041047}"/>
    <cellStyle name="20% - Accent3 7 2 3" xfId="12119" xr:uid="{B5903E06-C40A-40F1-8DA5-D18226BB8D67}"/>
    <cellStyle name="20% - Accent3 7 2 4" xfId="20548" xr:uid="{39B05DD2-F564-48CC-B10E-0584737327EF}"/>
    <cellStyle name="20% - Accent3 7 3" xfId="5763" xr:uid="{00000000-0005-0000-0000-0000D9010000}"/>
    <cellStyle name="20% - Accent3 7 3 2" xfId="14192" xr:uid="{351E66F6-606D-41D2-9D49-29A019FC0838}"/>
    <cellStyle name="20% - Accent3 7 3 3" xfId="22620" xr:uid="{CCF6C130-14EF-4624-86F5-71B27BE51DC7}"/>
    <cellStyle name="20% - Accent3 7 4" xfId="9974" xr:uid="{C2180426-582A-43C4-B8D7-12099D704A56}"/>
    <cellStyle name="20% - Accent3 7 5" xfId="18403" xr:uid="{FBD7375B-F4BC-4F34-B386-542B8B69AC50}"/>
    <cellStyle name="20% - Accent3 8" xfId="1868" xr:uid="{00000000-0005-0000-0000-0000DA010000}"/>
    <cellStyle name="20% - Accent3 8 2" xfId="4097" xr:uid="{00000000-0005-0000-0000-0000DB010000}"/>
    <cellStyle name="20% - Accent3 8 2 2" xfId="8321" xr:uid="{00000000-0005-0000-0000-0000DC010000}"/>
    <cellStyle name="20% - Accent3 8 2 2 2" xfId="16750" xr:uid="{4409225A-D31B-4426-AA9C-B8B6D960FFB1}"/>
    <cellStyle name="20% - Accent3 8 2 2 3" xfId="25178" xr:uid="{91217ED0-8529-45C9-8F23-0E95AA04D432}"/>
    <cellStyle name="20% - Accent3 8 2 3" xfId="12532" xr:uid="{D0F7DF59-84E0-4A71-87E9-A74C7733B0B4}"/>
    <cellStyle name="20% - Accent3 8 2 4" xfId="20961" xr:uid="{05C34B89-6508-4AF4-BA38-2193FE983729}"/>
    <cellStyle name="20% - Accent3 8 3" xfId="6176" xr:uid="{00000000-0005-0000-0000-0000DD010000}"/>
    <cellStyle name="20% - Accent3 8 3 2" xfId="14605" xr:uid="{9758F1BE-F93A-4813-8C48-6CA3B9126119}"/>
    <cellStyle name="20% - Accent3 8 3 3" xfId="23033" xr:uid="{25E7839A-F07E-4ADF-81EF-FB922C296582}"/>
    <cellStyle name="20% - Accent3 8 4" xfId="10387" xr:uid="{89A8B937-7774-40A0-93C8-B163DC4D2631}"/>
    <cellStyle name="20% - Accent3 8 5" xfId="18816" xr:uid="{82F74FFE-1808-4354-9B16-CA3746A047BE}"/>
    <cellStyle name="20% - Accent3 9" xfId="2281" xr:uid="{00000000-0005-0000-0000-0000DE010000}"/>
    <cellStyle name="20% - Accent3 9 2" xfId="6589" xr:uid="{00000000-0005-0000-0000-0000DF010000}"/>
    <cellStyle name="20% - Accent3 9 2 2" xfId="15018" xr:uid="{AD1AA6DA-1B5F-4049-91C3-D1237266B586}"/>
    <cellStyle name="20% - Accent3 9 2 3" xfId="23446" xr:uid="{8976567C-FBEB-4BDB-B8B7-90ADAFE14BD8}"/>
    <cellStyle name="20% - Accent3 9 3" xfId="10800" xr:uid="{5904662F-C1D1-4648-8993-889374CF3269}"/>
    <cellStyle name="20% - Accent3 9 4" xfId="19229" xr:uid="{88FA4B30-6AD8-4AC0-AFE1-7DBB11065BE2}"/>
    <cellStyle name="20% - Accent4" xfId="25" builtinId="42" customBuiltin="1"/>
    <cellStyle name="20% - Accent4 10" xfId="4531" xr:uid="{00000000-0005-0000-0000-0000E1010000}"/>
    <cellStyle name="20% - Accent4 10 2" xfId="12960" xr:uid="{B6F90939-D1E9-47B3-BA99-399BC3BDE25C}"/>
    <cellStyle name="20% - Accent4 10 3" xfId="21388" xr:uid="{2D4BC0B6-BB8B-407E-BC77-B180BCAD5307}"/>
    <cellStyle name="20% - Accent4 11" xfId="8742" xr:uid="{B321FF23-C766-41A5-BED4-81E1430F22A2}"/>
    <cellStyle name="20% - Accent4 12" xfId="17171" xr:uid="{CF4E3CC2-3D8A-4C09-B572-2A8A8AEEFB53}"/>
    <cellStyle name="20% - Accent4 2" xfId="26" xr:uid="{00000000-0005-0000-0000-0000E2010000}"/>
    <cellStyle name="20% - Accent4 2 10" xfId="8743" xr:uid="{CDCB15BB-2865-4693-B7D3-CBD399EAD63F}"/>
    <cellStyle name="20% - Accent4 2 11" xfId="17172" xr:uid="{2D0EDEC4-3D85-4B50-9D6B-768C0B639E57}"/>
    <cellStyle name="20% - Accent4 2 2" xfId="27" xr:uid="{00000000-0005-0000-0000-0000E3010000}"/>
    <cellStyle name="20% - Accent4 2 2 10" xfId="17173" xr:uid="{61384EC9-0B73-468D-8B9B-D7B4DA0F1B8C}"/>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22" xr:uid="{2012487A-468F-487E-BBD2-D1F2A7BE16DC}"/>
    <cellStyle name="20% - Accent4 2 2 2 2 2 2 3" xfId="23950" xr:uid="{5E460126-0755-4D9F-87B4-52441734E433}"/>
    <cellStyle name="20% - Accent4 2 2 2 2 2 3" xfId="11304" xr:uid="{C0046C5F-F060-4302-9880-1625295A6D11}"/>
    <cellStyle name="20% - Accent4 2 2 2 2 2 4" xfId="19733" xr:uid="{08C147CE-D03B-4C48-B6E7-1177667A8F55}"/>
    <cellStyle name="20% - Accent4 2 2 2 2 3" xfId="4948" xr:uid="{00000000-0005-0000-0000-0000E8010000}"/>
    <cellStyle name="20% - Accent4 2 2 2 2 3 2" xfId="13377" xr:uid="{D71F9572-7ADC-48BF-AF66-4BDF453898BB}"/>
    <cellStyle name="20% - Accent4 2 2 2 2 3 3" xfId="21805" xr:uid="{0FD79E20-16B4-40AE-885B-6DEA03813637}"/>
    <cellStyle name="20% - Accent4 2 2 2 2 4" xfId="9159" xr:uid="{4D3B3929-B3F3-4759-9267-E39986893A95}"/>
    <cellStyle name="20% - Accent4 2 2 2 2 5" xfId="17588" xr:uid="{70BFA2DF-E724-4C3B-A394-54F8004A905E}"/>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35" xr:uid="{EEB791F9-42B8-413D-B06D-37AF3FAB1A36}"/>
    <cellStyle name="20% - Accent4 2 2 2 3 2 2 3" xfId="24363" xr:uid="{F41CC6CB-DCDF-4285-B810-D058EF8CE782}"/>
    <cellStyle name="20% - Accent4 2 2 2 3 2 3" xfId="11717" xr:uid="{BB382E3E-5870-48BA-B8D8-C89EEA7B2572}"/>
    <cellStyle name="20% - Accent4 2 2 2 3 2 4" xfId="20146" xr:uid="{5C463820-853D-472E-A3C9-509261419297}"/>
    <cellStyle name="20% - Accent4 2 2 2 3 3" xfId="5361" xr:uid="{00000000-0005-0000-0000-0000EC010000}"/>
    <cellStyle name="20% - Accent4 2 2 2 3 3 2" xfId="13790" xr:uid="{AF071D4E-BB78-4A50-85DB-270CF459FCAD}"/>
    <cellStyle name="20% - Accent4 2 2 2 3 3 3" xfId="22218" xr:uid="{571183A4-1F38-4732-B23D-8671C976C1AE}"/>
    <cellStyle name="20% - Accent4 2 2 2 3 4" xfId="9572" xr:uid="{417502E0-C06E-4AF3-9AFD-266427341922}"/>
    <cellStyle name="20% - Accent4 2 2 2 3 5" xfId="18001" xr:uid="{0EEC2F50-3FE1-4E95-8A9F-918F284D1BC6}"/>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8" xr:uid="{BAFCE38C-A5ED-423E-B67C-DF3750A071E8}"/>
    <cellStyle name="20% - Accent4 2 2 2 4 2 2 3" xfId="24776" xr:uid="{6245124D-1F75-458F-9339-CF9A37FEB84D}"/>
    <cellStyle name="20% - Accent4 2 2 2 4 2 3" xfId="12130" xr:uid="{A876A199-31A9-4239-98D4-00C1BF2D557D}"/>
    <cellStyle name="20% - Accent4 2 2 2 4 2 4" xfId="20559" xr:uid="{C2C76A55-1C54-4820-A5D9-D610BF1561A4}"/>
    <cellStyle name="20% - Accent4 2 2 2 4 3" xfId="5774" xr:uid="{00000000-0005-0000-0000-0000F0010000}"/>
    <cellStyle name="20% - Accent4 2 2 2 4 3 2" xfId="14203" xr:uid="{F517A6B1-FF76-4C1D-BAD1-11D2BD13DD84}"/>
    <cellStyle name="20% - Accent4 2 2 2 4 3 3" xfId="22631" xr:uid="{2ECDC826-2137-4885-B29C-8378C9BC2875}"/>
    <cellStyle name="20% - Accent4 2 2 2 4 4" xfId="9985" xr:uid="{4E3746FE-BEB1-461A-96A8-D6916D75FF94}"/>
    <cellStyle name="20% - Accent4 2 2 2 4 5" xfId="18414" xr:uid="{C46BF830-4E5E-4B15-A26D-BFC570B68374}"/>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61" xr:uid="{1817200E-6622-4A49-B8A2-40E8CF1134CB}"/>
    <cellStyle name="20% - Accent4 2 2 2 5 2 2 3" xfId="25189" xr:uid="{BBD7DD80-2433-4D1A-B46E-D99905595284}"/>
    <cellStyle name="20% - Accent4 2 2 2 5 2 3" xfId="12543" xr:uid="{2CE5715D-5AB2-43A7-A082-D091C4C93185}"/>
    <cellStyle name="20% - Accent4 2 2 2 5 2 4" xfId="20972" xr:uid="{3840D490-10DD-43E5-8F19-BDF24AA3D02A}"/>
    <cellStyle name="20% - Accent4 2 2 2 5 3" xfId="6187" xr:uid="{00000000-0005-0000-0000-0000F4010000}"/>
    <cellStyle name="20% - Accent4 2 2 2 5 3 2" xfId="14616" xr:uid="{F8FA72F1-9658-4E2F-B29E-7BE10EC86EFA}"/>
    <cellStyle name="20% - Accent4 2 2 2 5 3 3" xfId="23044" xr:uid="{0BC02D94-CA17-4522-9297-CB8A966530C0}"/>
    <cellStyle name="20% - Accent4 2 2 2 5 4" xfId="10398" xr:uid="{895603B9-6630-4A9C-87FD-5132C08351FC}"/>
    <cellStyle name="20% - Accent4 2 2 2 5 5" xfId="18827" xr:uid="{6CC667F4-72C5-45D1-9894-8AB35DD2A83B}"/>
    <cellStyle name="20% - Accent4 2 2 2 6" xfId="2292" xr:uid="{00000000-0005-0000-0000-0000F5010000}"/>
    <cellStyle name="20% - Accent4 2 2 2 6 2" xfId="6600" xr:uid="{00000000-0005-0000-0000-0000F6010000}"/>
    <cellStyle name="20% - Accent4 2 2 2 6 2 2" xfId="15029" xr:uid="{DFEF9E12-3905-4F6D-9912-5AD65D57D159}"/>
    <cellStyle name="20% - Accent4 2 2 2 6 2 3" xfId="23457" xr:uid="{430A9327-4153-41F4-81C8-8699E42A862D}"/>
    <cellStyle name="20% - Accent4 2 2 2 6 3" xfId="10811" xr:uid="{5FDE04E1-006B-43D0-9F07-2DB58CF8773B}"/>
    <cellStyle name="20% - Accent4 2 2 2 6 4" xfId="19240" xr:uid="{F2A44394-E8E9-4B0D-8035-E486D68496F2}"/>
    <cellStyle name="20% - Accent4 2 2 2 7" xfId="4534" xr:uid="{00000000-0005-0000-0000-0000F7010000}"/>
    <cellStyle name="20% - Accent4 2 2 2 7 2" xfId="12963" xr:uid="{FAA44455-5167-493F-ADA0-41DAA6C937F3}"/>
    <cellStyle name="20% - Accent4 2 2 2 7 3" xfId="21391" xr:uid="{4F0F1C06-D895-4009-AF36-283C38F2075C}"/>
    <cellStyle name="20% - Accent4 2 2 2 8" xfId="8745" xr:uid="{DE32FD14-F411-4C3C-B423-A59B6AB13325}"/>
    <cellStyle name="20% - Accent4 2 2 2 9" xfId="17174" xr:uid="{6F4DA698-BEA1-49DD-A39B-80CC700FB850}"/>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21" xr:uid="{BBE2D52E-16FE-4EC1-BE0F-A21B45AE107A}"/>
    <cellStyle name="20% - Accent4 2 2 3 2 2 3" xfId="23949" xr:uid="{F82A6E76-E8B2-45E7-97CE-96AF935D1E0C}"/>
    <cellStyle name="20% - Accent4 2 2 3 2 3" xfId="11303" xr:uid="{F5D3D087-A85C-4128-A85F-A8BA4A957C3B}"/>
    <cellStyle name="20% - Accent4 2 2 3 2 4" xfId="19732" xr:uid="{A8714076-4BAF-45C0-94A5-D03FE29BE8A1}"/>
    <cellStyle name="20% - Accent4 2 2 3 3" xfId="4947" xr:uid="{00000000-0005-0000-0000-0000FB010000}"/>
    <cellStyle name="20% - Accent4 2 2 3 3 2" xfId="13376" xr:uid="{BE539B6D-7F22-42AC-8312-1A7029EDF504}"/>
    <cellStyle name="20% - Accent4 2 2 3 3 3" xfId="21804" xr:uid="{6C60DDB5-2921-4F5F-B743-9AD936AB8CB1}"/>
    <cellStyle name="20% - Accent4 2 2 3 4" xfId="9158" xr:uid="{4AFFF8A0-F95E-4ED9-BD74-A9B2B0988B31}"/>
    <cellStyle name="20% - Accent4 2 2 3 5" xfId="17587" xr:uid="{3ED4A969-7E65-4ACD-A07D-42DC585C1BAB}"/>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34" xr:uid="{505A4491-335A-44CA-B2D2-5EB16927E664}"/>
    <cellStyle name="20% - Accent4 2 2 4 2 2 3" xfId="24362" xr:uid="{B558FB88-83A9-4D31-B108-30A07B8BBD3F}"/>
    <cellStyle name="20% - Accent4 2 2 4 2 3" xfId="11716" xr:uid="{9809AD2D-F450-4699-BD42-2933C2DF5E40}"/>
    <cellStyle name="20% - Accent4 2 2 4 2 4" xfId="20145" xr:uid="{873121E2-8713-4BE5-B438-DD05B53446C6}"/>
    <cellStyle name="20% - Accent4 2 2 4 3" xfId="5360" xr:uid="{00000000-0005-0000-0000-0000FF010000}"/>
    <cellStyle name="20% - Accent4 2 2 4 3 2" xfId="13789" xr:uid="{E89F2A1D-3844-49C2-A4BB-EA4FE25AA970}"/>
    <cellStyle name="20% - Accent4 2 2 4 3 3" xfId="22217" xr:uid="{3E723EBA-01B6-4442-AE96-7C1CBE217B09}"/>
    <cellStyle name="20% - Accent4 2 2 4 4" xfId="9571" xr:uid="{9810DB40-B7C2-4851-AE1C-233615C37BEA}"/>
    <cellStyle name="20% - Accent4 2 2 4 5" xfId="18000" xr:uid="{F8F98DDD-27AA-4CAA-8037-57A3EF0BC1F8}"/>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7" xr:uid="{8A0FF6B8-2CAB-4E45-A4B2-F3A7636AF03B}"/>
    <cellStyle name="20% - Accent4 2 2 5 2 2 3" xfId="24775" xr:uid="{3608096D-4E89-40F0-893F-06EA170AD4E7}"/>
    <cellStyle name="20% - Accent4 2 2 5 2 3" xfId="12129" xr:uid="{9539AA2A-E8B4-470F-9B8A-AE306D73D2D7}"/>
    <cellStyle name="20% - Accent4 2 2 5 2 4" xfId="20558" xr:uid="{82817D3C-4F2E-46CC-846D-C5D60F879CF9}"/>
    <cellStyle name="20% - Accent4 2 2 5 3" xfId="5773" xr:uid="{00000000-0005-0000-0000-000003020000}"/>
    <cellStyle name="20% - Accent4 2 2 5 3 2" xfId="14202" xr:uid="{016AFC38-DE0C-4D7D-AFDD-2AA5D404FF79}"/>
    <cellStyle name="20% - Accent4 2 2 5 3 3" xfId="22630" xr:uid="{A4C44D94-8711-46D4-A157-5331D04E044D}"/>
    <cellStyle name="20% - Accent4 2 2 5 4" xfId="9984" xr:uid="{0F5BC554-C273-4BB4-A9E7-DC18ECAC4D2A}"/>
    <cellStyle name="20% - Accent4 2 2 5 5" xfId="18413" xr:uid="{EC368C04-7055-4DE1-8C08-D6065590AEAF}"/>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60" xr:uid="{260CE060-F985-4EC4-B834-83FBF9520E34}"/>
    <cellStyle name="20% - Accent4 2 2 6 2 2 3" xfId="25188" xr:uid="{8AC5D471-E3BD-49D8-86B1-15FF93B9D876}"/>
    <cellStyle name="20% - Accent4 2 2 6 2 3" xfId="12542" xr:uid="{9D2CAA5C-92DC-44DB-B9AF-7431FA11A0A4}"/>
    <cellStyle name="20% - Accent4 2 2 6 2 4" xfId="20971" xr:uid="{88A16F34-23C6-4DF9-B4DB-7D6EBF6AC7D4}"/>
    <cellStyle name="20% - Accent4 2 2 6 3" xfId="6186" xr:uid="{00000000-0005-0000-0000-000007020000}"/>
    <cellStyle name="20% - Accent4 2 2 6 3 2" xfId="14615" xr:uid="{D15F7974-04D7-490A-A7D4-FC5B84E9F53D}"/>
    <cellStyle name="20% - Accent4 2 2 6 3 3" xfId="23043" xr:uid="{75886A60-52C0-4735-A1FB-CED7D9D30837}"/>
    <cellStyle name="20% - Accent4 2 2 6 4" xfId="10397" xr:uid="{B40E8118-E470-46DB-AC0E-A8B81FD13CFD}"/>
    <cellStyle name="20% - Accent4 2 2 6 5" xfId="18826" xr:uid="{652C3DC2-2BF2-4622-ABD2-F761596BECCD}"/>
    <cellStyle name="20% - Accent4 2 2 7" xfId="2291" xr:uid="{00000000-0005-0000-0000-000008020000}"/>
    <cellStyle name="20% - Accent4 2 2 7 2" xfId="6599" xr:uid="{00000000-0005-0000-0000-000009020000}"/>
    <cellStyle name="20% - Accent4 2 2 7 2 2" xfId="15028" xr:uid="{FEEE1EFD-2954-4774-8108-F6C0EFAC683A}"/>
    <cellStyle name="20% - Accent4 2 2 7 2 3" xfId="23456" xr:uid="{7C1D50D5-DB91-4D29-8E9B-D67306553109}"/>
    <cellStyle name="20% - Accent4 2 2 7 3" xfId="10810" xr:uid="{A6875B10-AA91-4544-A680-AA6E81DBD951}"/>
    <cellStyle name="20% - Accent4 2 2 7 4" xfId="19239" xr:uid="{A92F5321-A83D-4D79-96BD-B53EBF793ED6}"/>
    <cellStyle name="20% - Accent4 2 2 8" xfId="4533" xr:uid="{00000000-0005-0000-0000-00000A020000}"/>
    <cellStyle name="20% - Accent4 2 2 8 2" xfId="12962" xr:uid="{33E2C408-19C2-4EDD-9C46-C4FF593A5263}"/>
    <cellStyle name="20% - Accent4 2 2 8 3" xfId="21390" xr:uid="{7BB88B2A-B354-4DCE-A7F0-5B37D1FBE1F9}"/>
    <cellStyle name="20% - Accent4 2 2 9" xfId="8744" xr:uid="{F736DDE3-E2E3-4C4F-ABCB-E4BFF004FBD2}"/>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23" xr:uid="{39AA24AA-230B-4D71-B66B-727264045A48}"/>
    <cellStyle name="20% - Accent4 2 3 2 2 2 3" xfId="23951" xr:uid="{6DE3997B-C01C-45CB-A3F2-168F4EEDD423}"/>
    <cellStyle name="20% - Accent4 2 3 2 2 3" xfId="11305" xr:uid="{5F6F91FA-5B38-4F46-82BF-3C1C26D26157}"/>
    <cellStyle name="20% - Accent4 2 3 2 2 4" xfId="19734" xr:uid="{31D848D0-B06F-4059-94F9-1105A58CB46C}"/>
    <cellStyle name="20% - Accent4 2 3 2 3" xfId="4949" xr:uid="{00000000-0005-0000-0000-00000F020000}"/>
    <cellStyle name="20% - Accent4 2 3 2 3 2" xfId="13378" xr:uid="{C4C8E0AC-020A-4820-87A0-005F6392AE0A}"/>
    <cellStyle name="20% - Accent4 2 3 2 3 3" xfId="21806" xr:uid="{8AF6F229-4E2B-4AB3-8FDC-2E77A4050306}"/>
    <cellStyle name="20% - Accent4 2 3 2 4" xfId="9160" xr:uid="{A22F6C45-259A-4D45-AF5F-E0433F8E808C}"/>
    <cellStyle name="20% - Accent4 2 3 2 5" xfId="17589" xr:uid="{350F45F6-D0D9-4804-94EF-800CD40D2F8B}"/>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36" xr:uid="{31676DEA-37A6-4693-B8E0-5C7167F48607}"/>
    <cellStyle name="20% - Accent4 2 3 3 2 2 3" xfId="24364" xr:uid="{633E6047-96B6-46AF-9C4C-40AF52BC0E14}"/>
    <cellStyle name="20% - Accent4 2 3 3 2 3" xfId="11718" xr:uid="{1C7A4DBC-9BFB-4029-8CB6-FACC833F6239}"/>
    <cellStyle name="20% - Accent4 2 3 3 2 4" xfId="20147" xr:uid="{6B18AE7F-8BAE-4A08-A08E-76BA09831773}"/>
    <cellStyle name="20% - Accent4 2 3 3 3" xfId="5362" xr:uid="{00000000-0005-0000-0000-000013020000}"/>
    <cellStyle name="20% - Accent4 2 3 3 3 2" xfId="13791" xr:uid="{741692D8-C38E-4E94-89F2-F84913DCD7EC}"/>
    <cellStyle name="20% - Accent4 2 3 3 3 3" xfId="22219" xr:uid="{0776FB33-749C-481D-B7D4-297A46C57FA9}"/>
    <cellStyle name="20% - Accent4 2 3 3 4" xfId="9573" xr:uid="{C0E70777-A031-4244-97EB-DD9D52A9CE11}"/>
    <cellStyle name="20% - Accent4 2 3 3 5" xfId="18002" xr:uid="{A3F262C6-6346-4634-8184-6EFAFD917510}"/>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9" xr:uid="{2AEBF0CB-D6FF-45CC-BCE1-315B452C3AAB}"/>
    <cellStyle name="20% - Accent4 2 3 4 2 2 3" xfId="24777" xr:uid="{D51B9513-343A-4A58-886B-E029A88C2BD6}"/>
    <cellStyle name="20% - Accent4 2 3 4 2 3" xfId="12131" xr:uid="{2097A821-E0DA-44FE-B5EE-3F5A1D9FAD5A}"/>
    <cellStyle name="20% - Accent4 2 3 4 2 4" xfId="20560" xr:uid="{245D260D-78B2-4C67-8B40-0CED75A4E12F}"/>
    <cellStyle name="20% - Accent4 2 3 4 3" xfId="5775" xr:uid="{00000000-0005-0000-0000-000017020000}"/>
    <cellStyle name="20% - Accent4 2 3 4 3 2" xfId="14204" xr:uid="{33A644AB-774C-4561-9BAB-AAE7BE971922}"/>
    <cellStyle name="20% - Accent4 2 3 4 3 3" xfId="22632" xr:uid="{8ADE31AC-99A1-4CB3-B00E-B5650A1D89A3}"/>
    <cellStyle name="20% - Accent4 2 3 4 4" xfId="9986" xr:uid="{4C932FF4-69E8-4689-A690-945FE979D953}"/>
    <cellStyle name="20% - Accent4 2 3 4 5" xfId="18415" xr:uid="{8EFA90EA-9FFB-44E8-B47E-260CE70591DE}"/>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62" xr:uid="{EF704E36-36C1-4369-8695-8E4E33F41251}"/>
    <cellStyle name="20% - Accent4 2 3 5 2 2 3" xfId="25190" xr:uid="{49116348-0040-484B-86ED-390480DB8548}"/>
    <cellStyle name="20% - Accent4 2 3 5 2 3" xfId="12544" xr:uid="{A8BAF539-DDA7-49D3-91F1-0227F88014F5}"/>
    <cellStyle name="20% - Accent4 2 3 5 2 4" xfId="20973" xr:uid="{A8F6E153-467B-4D6B-BFC1-60E03FC2BEFB}"/>
    <cellStyle name="20% - Accent4 2 3 5 3" xfId="6188" xr:uid="{00000000-0005-0000-0000-00001B020000}"/>
    <cellStyle name="20% - Accent4 2 3 5 3 2" xfId="14617" xr:uid="{83C73F0D-7E75-4869-9E11-A47E8274C47C}"/>
    <cellStyle name="20% - Accent4 2 3 5 3 3" xfId="23045" xr:uid="{8DCC3ADC-91CE-45CE-9491-BC6F76795422}"/>
    <cellStyle name="20% - Accent4 2 3 5 4" xfId="10399" xr:uid="{8E31C706-9F89-4672-9933-5C55E4E9721E}"/>
    <cellStyle name="20% - Accent4 2 3 5 5" xfId="18828" xr:uid="{EB3D7748-CA9D-44E6-B5C9-8718E81A37FD}"/>
    <cellStyle name="20% - Accent4 2 3 6" xfId="2293" xr:uid="{00000000-0005-0000-0000-00001C020000}"/>
    <cellStyle name="20% - Accent4 2 3 6 2" xfId="6601" xr:uid="{00000000-0005-0000-0000-00001D020000}"/>
    <cellStyle name="20% - Accent4 2 3 6 2 2" xfId="15030" xr:uid="{D4B0A966-1116-43AC-8CA1-CD4EC11EC44C}"/>
    <cellStyle name="20% - Accent4 2 3 6 2 3" xfId="23458" xr:uid="{A220649F-D67D-4523-9BE1-9ADB8003AFB4}"/>
    <cellStyle name="20% - Accent4 2 3 6 3" xfId="10812" xr:uid="{6A7F1787-7353-4C3D-AEF3-EDA338EC062F}"/>
    <cellStyle name="20% - Accent4 2 3 6 4" xfId="19241" xr:uid="{79D0EE6B-1E6D-4A17-9495-0CD83877DADC}"/>
    <cellStyle name="20% - Accent4 2 3 7" xfId="4535" xr:uid="{00000000-0005-0000-0000-00001E020000}"/>
    <cellStyle name="20% - Accent4 2 3 7 2" xfId="12964" xr:uid="{E80BBBEF-7471-48AC-900A-9194BFB8EC6A}"/>
    <cellStyle name="20% - Accent4 2 3 7 3" xfId="21392" xr:uid="{2C582CC7-AB0E-4FA3-84B3-482BCDE5BA02}"/>
    <cellStyle name="20% - Accent4 2 3 8" xfId="8746" xr:uid="{3E73FDE3-F1A0-4078-A080-C95D888F5321}"/>
    <cellStyle name="20% - Accent4 2 3 9" xfId="17175" xr:uid="{2D49875B-FDA8-4433-941F-76054FB17853}"/>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20" xr:uid="{EE663789-E425-4D48-984F-085C3014D0FE}"/>
    <cellStyle name="20% - Accent4 2 4 2 2 3" xfId="23948" xr:uid="{9894380D-24B3-490E-9F1A-DEA8CF8476BD}"/>
    <cellStyle name="20% - Accent4 2 4 2 3" xfId="11302" xr:uid="{0C2E8FAA-4AEB-4704-9082-FA3955D2BFE4}"/>
    <cellStyle name="20% - Accent4 2 4 2 4" xfId="19731" xr:uid="{044B7A53-A4E6-4D41-9EA1-50AB5491B4B4}"/>
    <cellStyle name="20% - Accent4 2 4 3" xfId="4946" xr:uid="{00000000-0005-0000-0000-000022020000}"/>
    <cellStyle name="20% - Accent4 2 4 3 2" xfId="13375" xr:uid="{7F6D7F30-CA66-4E46-B3B1-77118269D585}"/>
    <cellStyle name="20% - Accent4 2 4 3 3" xfId="21803" xr:uid="{DAB4422A-D434-4B2E-A117-9CB0591CA115}"/>
    <cellStyle name="20% - Accent4 2 4 4" xfId="9157" xr:uid="{BB651231-D6CC-4E05-8EEB-413C8F0DBA1E}"/>
    <cellStyle name="20% - Accent4 2 4 5" xfId="17586" xr:uid="{298AE7BC-5464-4735-9CFE-5A07A56935F9}"/>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33" xr:uid="{70F837DC-C1D6-4A2E-B202-6915CE999933}"/>
    <cellStyle name="20% - Accent4 2 5 2 2 3" xfId="24361" xr:uid="{DE2D11E8-C112-4254-A7F1-3499B44C9069}"/>
    <cellStyle name="20% - Accent4 2 5 2 3" xfId="11715" xr:uid="{9E3D33BD-DF52-4BBB-8D99-2732157C2647}"/>
    <cellStyle name="20% - Accent4 2 5 2 4" xfId="20144" xr:uid="{E264D786-A56D-48A5-AF47-BB1F6565B364}"/>
    <cellStyle name="20% - Accent4 2 5 3" xfId="5359" xr:uid="{00000000-0005-0000-0000-000026020000}"/>
    <cellStyle name="20% - Accent4 2 5 3 2" xfId="13788" xr:uid="{CBCBA60B-4395-4B4E-8454-D09D24B2A068}"/>
    <cellStyle name="20% - Accent4 2 5 3 3" xfId="22216" xr:uid="{2724EA00-8606-42E4-88C6-8C6163DF7BEE}"/>
    <cellStyle name="20% - Accent4 2 5 4" xfId="9570" xr:uid="{FE2B47FD-979A-4B53-9F56-5FF23B382E79}"/>
    <cellStyle name="20% - Accent4 2 5 5" xfId="17999" xr:uid="{8BAB8E64-DE1F-4B8A-A37D-90AF8C33396F}"/>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46" xr:uid="{5625F822-367F-451B-B42C-4DACDC806784}"/>
    <cellStyle name="20% - Accent4 2 6 2 2 3" xfId="24774" xr:uid="{712FE937-4B2B-4AEE-883A-9ED5078C0B30}"/>
    <cellStyle name="20% - Accent4 2 6 2 3" xfId="12128" xr:uid="{D2FDD7FE-D7AF-4B73-B999-66582065F367}"/>
    <cellStyle name="20% - Accent4 2 6 2 4" xfId="20557" xr:uid="{0F8D638D-8272-42A5-B574-3F117A557B5F}"/>
    <cellStyle name="20% - Accent4 2 6 3" xfId="5772" xr:uid="{00000000-0005-0000-0000-00002A020000}"/>
    <cellStyle name="20% - Accent4 2 6 3 2" xfId="14201" xr:uid="{0AB063B0-942D-44F3-8CE2-3270C74B0E4E}"/>
    <cellStyle name="20% - Accent4 2 6 3 3" xfId="22629" xr:uid="{E117542C-DEB5-45EB-AFF0-1F976DD251F2}"/>
    <cellStyle name="20% - Accent4 2 6 4" xfId="9983" xr:uid="{3CDBC369-653D-4AC4-80C7-C95D3D9C9C9B}"/>
    <cellStyle name="20% - Accent4 2 6 5" xfId="18412" xr:uid="{5C7D9777-02FB-4D75-B60B-EAD4E1B01B0D}"/>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9" xr:uid="{22F43C4F-E1E2-44F0-979F-56B2F17F1002}"/>
    <cellStyle name="20% - Accent4 2 7 2 2 3" xfId="25187" xr:uid="{D971904F-6887-418E-AC89-DC4F56207093}"/>
    <cellStyle name="20% - Accent4 2 7 2 3" xfId="12541" xr:uid="{02642853-66BF-456E-915F-5287D754B483}"/>
    <cellStyle name="20% - Accent4 2 7 2 4" xfId="20970" xr:uid="{4F83D7D5-E33D-4FD8-AF95-3B05737AF7F8}"/>
    <cellStyle name="20% - Accent4 2 7 3" xfId="6185" xr:uid="{00000000-0005-0000-0000-00002E020000}"/>
    <cellStyle name="20% - Accent4 2 7 3 2" xfId="14614" xr:uid="{F0583EE3-7418-4E75-BBB1-4CD4CB15CC14}"/>
    <cellStyle name="20% - Accent4 2 7 3 3" xfId="23042" xr:uid="{EF525777-B2BE-418D-A2A3-55F11B82E67B}"/>
    <cellStyle name="20% - Accent4 2 7 4" xfId="10396" xr:uid="{E1F4AF56-B40B-4286-9757-96E47C482B90}"/>
    <cellStyle name="20% - Accent4 2 7 5" xfId="18825" xr:uid="{374E88A7-1890-4593-8536-DE3FCFD5E105}"/>
    <cellStyle name="20% - Accent4 2 8" xfId="2290" xr:uid="{00000000-0005-0000-0000-00002F020000}"/>
    <cellStyle name="20% - Accent4 2 8 2" xfId="6598" xr:uid="{00000000-0005-0000-0000-000030020000}"/>
    <cellStyle name="20% - Accent4 2 8 2 2" xfId="15027" xr:uid="{28AF0D25-6B21-4F88-A492-B9D7EECA7A0A}"/>
    <cellStyle name="20% - Accent4 2 8 2 3" xfId="23455" xr:uid="{9E10294B-1299-46A5-8CA4-D93B958E89BA}"/>
    <cellStyle name="20% - Accent4 2 8 3" xfId="10809" xr:uid="{FF212EB3-56E9-482E-9C4D-EA6FA8FC0081}"/>
    <cellStyle name="20% - Accent4 2 8 4" xfId="19238" xr:uid="{82EAD8B8-CFD1-4E59-993E-4476A46EF485}"/>
    <cellStyle name="20% - Accent4 2 9" xfId="4532" xr:uid="{00000000-0005-0000-0000-000031020000}"/>
    <cellStyle name="20% - Accent4 2 9 2" xfId="12961" xr:uid="{560D9549-E511-4021-BF4B-28B6F5813D73}"/>
    <cellStyle name="20% - Accent4 2 9 3" xfId="21389" xr:uid="{4CB8AFAB-DCD4-4E26-B6DF-5C955739983E}"/>
    <cellStyle name="20% - Accent4 3" xfId="30" xr:uid="{00000000-0005-0000-0000-000032020000}"/>
    <cellStyle name="20% - Accent4 3 10" xfId="17176" xr:uid="{FA6D9223-7E46-4327-9C89-A43B7C6642E3}"/>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25" xr:uid="{3AFF2CC2-8A7A-4EED-86BF-9C74E1EEE5C7}"/>
    <cellStyle name="20% - Accent4 3 2 2 2 2 3" xfId="23953" xr:uid="{FE92402C-49DE-4D0D-A766-F6550DF9EC8E}"/>
    <cellStyle name="20% - Accent4 3 2 2 2 3" xfId="11307" xr:uid="{5288B648-1F4D-463B-904B-A9719EF9EA23}"/>
    <cellStyle name="20% - Accent4 3 2 2 2 4" xfId="19736" xr:uid="{B417E8C4-E066-4FC8-98A0-26E345F3B735}"/>
    <cellStyle name="20% - Accent4 3 2 2 3" xfId="4951" xr:uid="{00000000-0005-0000-0000-000037020000}"/>
    <cellStyle name="20% - Accent4 3 2 2 3 2" xfId="13380" xr:uid="{517DB01A-EB5B-479A-A4CB-48208FA9329C}"/>
    <cellStyle name="20% - Accent4 3 2 2 3 3" xfId="21808" xr:uid="{7BB54A0D-9589-4605-8C5B-F6768148DEB1}"/>
    <cellStyle name="20% - Accent4 3 2 2 4" xfId="9162" xr:uid="{7DAE0EDB-D232-430A-A88B-CD0BDA55B827}"/>
    <cellStyle name="20% - Accent4 3 2 2 5" xfId="17591" xr:uid="{1F525F42-90E8-47C9-B2C9-F43906BD0C1A}"/>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8" xr:uid="{87ED9FE0-284B-4A4D-9085-C15D3EF3CE83}"/>
    <cellStyle name="20% - Accent4 3 2 3 2 2 3" xfId="24366" xr:uid="{5AA7C390-FAFB-47B6-9D6A-B66051DE7453}"/>
    <cellStyle name="20% - Accent4 3 2 3 2 3" xfId="11720" xr:uid="{1F4C8B50-7B6B-460A-8095-97949A1D3130}"/>
    <cellStyle name="20% - Accent4 3 2 3 2 4" xfId="20149" xr:uid="{5DFF9E0C-4119-49F0-8A26-FB8DEB3F2271}"/>
    <cellStyle name="20% - Accent4 3 2 3 3" xfId="5364" xr:uid="{00000000-0005-0000-0000-00003B020000}"/>
    <cellStyle name="20% - Accent4 3 2 3 3 2" xfId="13793" xr:uid="{35E6A029-84F8-47AB-A981-A669F7B59C7E}"/>
    <cellStyle name="20% - Accent4 3 2 3 3 3" xfId="22221" xr:uid="{A2C59576-1C52-42DD-B880-3D98203EF36A}"/>
    <cellStyle name="20% - Accent4 3 2 3 4" xfId="9575" xr:uid="{A5FAD6FC-F734-4765-B63F-9C21B1A56794}"/>
    <cellStyle name="20% - Accent4 3 2 3 5" xfId="18004" xr:uid="{0D382B5E-F643-45E5-94CE-A395C6F52E1A}"/>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51" xr:uid="{950F86EC-E493-49C8-B96F-94EE3E0C3B60}"/>
    <cellStyle name="20% - Accent4 3 2 4 2 2 3" xfId="24779" xr:uid="{15479491-CB35-4652-8D00-D21BE85B50F3}"/>
    <cellStyle name="20% - Accent4 3 2 4 2 3" xfId="12133" xr:uid="{3E5B545E-312D-4888-A239-98E42E4EC1E2}"/>
    <cellStyle name="20% - Accent4 3 2 4 2 4" xfId="20562" xr:uid="{4643CB55-29F9-4E6F-8402-21D7B6D233A9}"/>
    <cellStyle name="20% - Accent4 3 2 4 3" xfId="5777" xr:uid="{00000000-0005-0000-0000-00003F020000}"/>
    <cellStyle name="20% - Accent4 3 2 4 3 2" xfId="14206" xr:uid="{D41CDAB5-099A-4AD6-A39B-4AD879954FC1}"/>
    <cellStyle name="20% - Accent4 3 2 4 3 3" xfId="22634" xr:uid="{4DA7A43E-7B6B-45EE-83F8-224646EB8DDD}"/>
    <cellStyle name="20% - Accent4 3 2 4 4" xfId="9988" xr:uid="{A0240BB8-CDDD-479A-BC6F-EFA29EAB17A8}"/>
    <cellStyle name="20% - Accent4 3 2 4 5" xfId="18417" xr:uid="{11AFED49-A969-49A8-8582-1BF589B0838D}"/>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64" xr:uid="{0E17EB64-C64D-48BA-B776-A034DBEC51EC}"/>
    <cellStyle name="20% - Accent4 3 2 5 2 2 3" xfId="25192" xr:uid="{316845D7-1D46-4C02-A3C3-6E3EC1801A05}"/>
    <cellStyle name="20% - Accent4 3 2 5 2 3" xfId="12546" xr:uid="{47B2AEF9-F305-4E3D-A7A5-1220A85BBE9C}"/>
    <cellStyle name="20% - Accent4 3 2 5 2 4" xfId="20975" xr:uid="{82A44331-2181-4573-8CF3-0DDED2F702D2}"/>
    <cellStyle name="20% - Accent4 3 2 5 3" xfId="6190" xr:uid="{00000000-0005-0000-0000-000043020000}"/>
    <cellStyle name="20% - Accent4 3 2 5 3 2" xfId="14619" xr:uid="{38731841-EA5D-4213-B12B-86762D38FFDC}"/>
    <cellStyle name="20% - Accent4 3 2 5 3 3" xfId="23047" xr:uid="{003691AC-B1D2-4DBE-AEE6-358EF2AD7B2E}"/>
    <cellStyle name="20% - Accent4 3 2 5 4" xfId="10401" xr:uid="{5E7F4193-F046-4B31-B1BC-85926EE2670F}"/>
    <cellStyle name="20% - Accent4 3 2 5 5" xfId="18830" xr:uid="{62962231-0C2E-4080-9236-F04EA4EE0DF9}"/>
    <cellStyle name="20% - Accent4 3 2 6" xfId="2295" xr:uid="{00000000-0005-0000-0000-000044020000}"/>
    <cellStyle name="20% - Accent4 3 2 6 2" xfId="6603" xr:uid="{00000000-0005-0000-0000-000045020000}"/>
    <cellStyle name="20% - Accent4 3 2 6 2 2" xfId="15032" xr:uid="{C160B774-70CB-431C-B0B9-29828050E67F}"/>
    <cellStyle name="20% - Accent4 3 2 6 2 3" xfId="23460" xr:uid="{6FB92928-74DB-4B55-A490-D3FC16646D13}"/>
    <cellStyle name="20% - Accent4 3 2 6 3" xfId="10814" xr:uid="{F322D9CB-2120-422D-B9BD-B072D3A5A895}"/>
    <cellStyle name="20% - Accent4 3 2 6 4" xfId="19243" xr:uid="{928E5602-2BF6-47F9-8781-4F9BEBA4B955}"/>
    <cellStyle name="20% - Accent4 3 2 7" xfId="4537" xr:uid="{00000000-0005-0000-0000-000046020000}"/>
    <cellStyle name="20% - Accent4 3 2 7 2" xfId="12966" xr:uid="{B0D07FA4-1144-4C5C-83EA-6C06B89A92A0}"/>
    <cellStyle name="20% - Accent4 3 2 7 3" xfId="21394" xr:uid="{B089B36B-A353-477A-B46D-D81C313306DE}"/>
    <cellStyle name="20% - Accent4 3 2 8" xfId="8748" xr:uid="{45F36746-EC6C-4FDD-9750-997221FBD9BE}"/>
    <cellStyle name="20% - Accent4 3 2 9" xfId="17177" xr:uid="{1C329C5F-0E27-4F31-B02E-48E3517D11EF}"/>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24" xr:uid="{AEE7EE07-CF65-49F9-97D7-467D962976C6}"/>
    <cellStyle name="20% - Accent4 3 3 2 2 3" xfId="23952" xr:uid="{0F1D91D7-3DDB-4686-A5EE-214106F54D0E}"/>
    <cellStyle name="20% - Accent4 3 3 2 3" xfId="11306" xr:uid="{2B0C2858-8B76-44C2-959B-5E2E0FFA169E}"/>
    <cellStyle name="20% - Accent4 3 3 2 4" xfId="19735" xr:uid="{5134E924-48B7-4575-A91B-271713C38EAF}"/>
    <cellStyle name="20% - Accent4 3 3 3" xfId="4950" xr:uid="{00000000-0005-0000-0000-00004A020000}"/>
    <cellStyle name="20% - Accent4 3 3 3 2" xfId="13379" xr:uid="{2676CE90-F724-4957-AB50-2096828D9A62}"/>
    <cellStyle name="20% - Accent4 3 3 3 3" xfId="21807" xr:uid="{E338A098-9DE7-49C8-B6F8-DC67FAC7106C}"/>
    <cellStyle name="20% - Accent4 3 3 4" xfId="9161" xr:uid="{D9B36715-FD9E-4C62-A34B-B98D50019BD9}"/>
    <cellStyle name="20% - Accent4 3 3 5" xfId="17590" xr:uid="{AED5903D-31EB-4EB3-AC18-8B4D86D22A14}"/>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7" xr:uid="{9F579732-3F63-4731-9958-24BCD1B84F4F}"/>
    <cellStyle name="20% - Accent4 3 4 2 2 3" xfId="24365" xr:uid="{84284018-4381-4AD3-94E1-B8F847AD4687}"/>
    <cellStyle name="20% - Accent4 3 4 2 3" xfId="11719" xr:uid="{0134F0B6-C45D-42CE-B197-A118521966F5}"/>
    <cellStyle name="20% - Accent4 3 4 2 4" xfId="20148" xr:uid="{0D1F08D3-68CF-4E1D-803B-A6499842C25E}"/>
    <cellStyle name="20% - Accent4 3 4 3" xfId="5363" xr:uid="{00000000-0005-0000-0000-00004E020000}"/>
    <cellStyle name="20% - Accent4 3 4 3 2" xfId="13792" xr:uid="{581C5F1E-D164-4950-BCAA-5F58D8E558A6}"/>
    <cellStyle name="20% - Accent4 3 4 3 3" xfId="22220" xr:uid="{13D55A3F-125A-4E81-BE9A-FB6A7E54A2FE}"/>
    <cellStyle name="20% - Accent4 3 4 4" xfId="9574" xr:uid="{800F5506-624E-4318-A7F9-394D06AD6B13}"/>
    <cellStyle name="20% - Accent4 3 4 5" xfId="18003" xr:uid="{E690C423-5DB8-4E38-B65D-969AAF19FF60}"/>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50" xr:uid="{61C1427A-E12F-4BC1-B358-9E84ACA9D5A8}"/>
    <cellStyle name="20% - Accent4 3 5 2 2 3" xfId="24778" xr:uid="{974F91C3-30B9-4FA9-B261-9949632032F9}"/>
    <cellStyle name="20% - Accent4 3 5 2 3" xfId="12132" xr:uid="{259761AE-24D3-48C0-9373-D861BCBF11E5}"/>
    <cellStyle name="20% - Accent4 3 5 2 4" xfId="20561" xr:uid="{F9083C00-C46C-42B0-A771-E202D5BB0BFA}"/>
    <cellStyle name="20% - Accent4 3 5 3" xfId="5776" xr:uid="{00000000-0005-0000-0000-000052020000}"/>
    <cellStyle name="20% - Accent4 3 5 3 2" xfId="14205" xr:uid="{524DB5FB-3CE4-476A-991F-998CD109242B}"/>
    <cellStyle name="20% - Accent4 3 5 3 3" xfId="22633" xr:uid="{DFF523AD-257E-4469-A561-4311543B203F}"/>
    <cellStyle name="20% - Accent4 3 5 4" xfId="9987" xr:uid="{3AF8EFE4-D4CA-4D20-A0AE-C4364E4AA7A0}"/>
    <cellStyle name="20% - Accent4 3 5 5" xfId="18416" xr:uid="{2653C378-2EAB-4399-B783-086D29052784}"/>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63" xr:uid="{44249FAA-65E0-4B9F-A495-DB6631F08115}"/>
    <cellStyle name="20% - Accent4 3 6 2 2 3" xfId="25191" xr:uid="{F1394BA9-0EB3-44B2-BC19-E0C49FEA2B8F}"/>
    <cellStyle name="20% - Accent4 3 6 2 3" xfId="12545" xr:uid="{52860706-A934-4156-8461-159275D24B13}"/>
    <cellStyle name="20% - Accent4 3 6 2 4" xfId="20974" xr:uid="{BC6990FA-D5AF-4D5D-9A75-635066DD6033}"/>
    <cellStyle name="20% - Accent4 3 6 3" xfId="6189" xr:uid="{00000000-0005-0000-0000-000056020000}"/>
    <cellStyle name="20% - Accent4 3 6 3 2" xfId="14618" xr:uid="{B73141D8-DC2C-429D-B975-D7FBFDF07C08}"/>
    <cellStyle name="20% - Accent4 3 6 3 3" xfId="23046" xr:uid="{132BC3EB-6FD1-4F79-B234-70680C93355F}"/>
    <cellStyle name="20% - Accent4 3 6 4" xfId="10400" xr:uid="{33E6DB2B-69F0-45BD-B558-86D68259CA3C}"/>
    <cellStyle name="20% - Accent4 3 6 5" xfId="18829" xr:uid="{843155FB-F42D-4288-B19E-3BA99FE63F3C}"/>
    <cellStyle name="20% - Accent4 3 7" xfId="2294" xr:uid="{00000000-0005-0000-0000-000057020000}"/>
    <cellStyle name="20% - Accent4 3 7 2" xfId="6602" xr:uid="{00000000-0005-0000-0000-000058020000}"/>
    <cellStyle name="20% - Accent4 3 7 2 2" xfId="15031" xr:uid="{42489CAE-E4C2-4237-BB2A-677810300029}"/>
    <cellStyle name="20% - Accent4 3 7 2 3" xfId="23459" xr:uid="{AEAEB75A-3279-4293-812D-283B3598454A}"/>
    <cellStyle name="20% - Accent4 3 7 3" xfId="10813" xr:uid="{432AFB38-31E4-4CD3-A24B-23FA357A589D}"/>
    <cellStyle name="20% - Accent4 3 7 4" xfId="19242" xr:uid="{62618A5D-70DE-4E6C-848D-88EA20A573D6}"/>
    <cellStyle name="20% - Accent4 3 8" xfId="4536" xr:uid="{00000000-0005-0000-0000-000059020000}"/>
    <cellStyle name="20% - Accent4 3 8 2" xfId="12965" xr:uid="{0A56D017-DADF-4F1A-B91A-2DA080494C22}"/>
    <cellStyle name="20% - Accent4 3 8 3" xfId="21393" xr:uid="{D07E8E2F-BF5F-42FA-995B-BD7C277FB945}"/>
    <cellStyle name="20% - Accent4 3 9" xfId="8747" xr:uid="{B29C449A-96B2-45DA-9E26-5F1693A06E87}"/>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26" xr:uid="{AC92F0E4-1518-4004-BF12-C077E0202B9B}"/>
    <cellStyle name="20% - Accent4 4 2 2 2 3" xfId="23954" xr:uid="{140C11A1-0E4C-4797-B992-062B3BDEE947}"/>
    <cellStyle name="20% - Accent4 4 2 2 3" xfId="11308" xr:uid="{21409835-3634-4264-AE35-C7991C9D163D}"/>
    <cellStyle name="20% - Accent4 4 2 2 4" xfId="19737" xr:uid="{D9AC2AF9-125C-4A26-A093-1DCB74582BD1}"/>
    <cellStyle name="20% - Accent4 4 2 3" xfId="4952" xr:uid="{00000000-0005-0000-0000-00005E020000}"/>
    <cellStyle name="20% - Accent4 4 2 3 2" xfId="13381" xr:uid="{06C9C161-8555-4737-85E8-7D7358C15E4C}"/>
    <cellStyle name="20% - Accent4 4 2 3 3" xfId="21809" xr:uid="{27A6A827-868C-4776-B6A5-FC8560525AA8}"/>
    <cellStyle name="20% - Accent4 4 2 4" xfId="9163" xr:uid="{C33DF463-BD62-47AC-9811-AF623A337794}"/>
    <cellStyle name="20% - Accent4 4 2 5" xfId="17592" xr:uid="{7FD5447D-3F0E-40D7-A838-939841B0949D}"/>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9" xr:uid="{CACAC946-BC36-4C9A-9ECF-4CEEA1AA41D9}"/>
    <cellStyle name="20% - Accent4 4 3 2 2 3" xfId="24367" xr:uid="{A816DB41-BEB5-435F-8C5C-40CACDCD299F}"/>
    <cellStyle name="20% - Accent4 4 3 2 3" xfId="11721" xr:uid="{918595BA-75BA-42E3-927E-0A75A60066DF}"/>
    <cellStyle name="20% - Accent4 4 3 2 4" xfId="20150" xr:uid="{171F7ED2-EDA0-4673-8009-A0C9170B2B99}"/>
    <cellStyle name="20% - Accent4 4 3 3" xfId="5365" xr:uid="{00000000-0005-0000-0000-000062020000}"/>
    <cellStyle name="20% - Accent4 4 3 3 2" xfId="13794" xr:uid="{BDEC1423-FF9D-4968-BCB8-465AD14504E5}"/>
    <cellStyle name="20% - Accent4 4 3 3 3" xfId="22222" xr:uid="{53BF45BE-5D6F-4FF5-B9B3-7B5216727B13}"/>
    <cellStyle name="20% - Accent4 4 3 4" xfId="9576" xr:uid="{F15E36FF-28D7-4748-AE55-21D9953C69ED}"/>
    <cellStyle name="20% - Accent4 4 3 5" xfId="18005" xr:uid="{58765941-769A-4A0F-914A-59D1134C1AEC}"/>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52" xr:uid="{6F956830-64A4-4DED-B55A-3D0835CD7EDF}"/>
    <cellStyle name="20% - Accent4 4 4 2 2 3" xfId="24780" xr:uid="{B66DF716-44EA-4532-9CE6-CE12DF440471}"/>
    <cellStyle name="20% - Accent4 4 4 2 3" xfId="12134" xr:uid="{3D05FC41-0141-451A-AA67-4FEDA43C6AA2}"/>
    <cellStyle name="20% - Accent4 4 4 2 4" xfId="20563" xr:uid="{7AC51D09-A147-43EA-B32A-7396C79F0E28}"/>
    <cellStyle name="20% - Accent4 4 4 3" xfId="5778" xr:uid="{00000000-0005-0000-0000-000066020000}"/>
    <cellStyle name="20% - Accent4 4 4 3 2" xfId="14207" xr:uid="{7C88269C-E3FB-4FB7-AFA3-81C0BC47D329}"/>
    <cellStyle name="20% - Accent4 4 4 3 3" xfId="22635" xr:uid="{EE810EB9-2511-4BF1-8DFC-680D38195D80}"/>
    <cellStyle name="20% - Accent4 4 4 4" xfId="9989" xr:uid="{E4FDEA53-F24B-4215-8AAC-19E6920481D0}"/>
    <cellStyle name="20% - Accent4 4 4 5" xfId="18418" xr:uid="{AB6BD60E-C937-47E7-9CF2-850A7EC91FAA}"/>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65" xr:uid="{8BCD702F-9808-4483-BEF4-490357753EA3}"/>
    <cellStyle name="20% - Accent4 4 5 2 2 3" xfId="25193" xr:uid="{814ED806-C3B2-4DD0-ACBF-6003AABA8E1E}"/>
    <cellStyle name="20% - Accent4 4 5 2 3" xfId="12547" xr:uid="{B40AFDA0-D591-41F3-B80C-2DDE5E1907D5}"/>
    <cellStyle name="20% - Accent4 4 5 2 4" xfId="20976" xr:uid="{C91B44EE-D551-457E-8267-C511623D91F0}"/>
    <cellStyle name="20% - Accent4 4 5 3" xfId="6191" xr:uid="{00000000-0005-0000-0000-00006A020000}"/>
    <cellStyle name="20% - Accent4 4 5 3 2" xfId="14620" xr:uid="{8888AB20-95AF-43ED-BDFC-427E386104CD}"/>
    <cellStyle name="20% - Accent4 4 5 3 3" xfId="23048" xr:uid="{D9CF383C-7720-4FED-AA2A-F546C2E1C458}"/>
    <cellStyle name="20% - Accent4 4 5 4" xfId="10402" xr:uid="{A48E8323-55D2-4236-B531-9712F30477A5}"/>
    <cellStyle name="20% - Accent4 4 5 5" xfId="18831" xr:uid="{1F48FEBA-DA77-44BD-83AE-B5D8D4AD8DE7}"/>
    <cellStyle name="20% - Accent4 4 6" xfId="2296" xr:uid="{00000000-0005-0000-0000-00006B020000}"/>
    <cellStyle name="20% - Accent4 4 6 2" xfId="6604" xr:uid="{00000000-0005-0000-0000-00006C020000}"/>
    <cellStyle name="20% - Accent4 4 6 2 2" xfId="15033" xr:uid="{01E65F61-2ADF-4A5C-B991-DC88E383AA83}"/>
    <cellStyle name="20% - Accent4 4 6 2 3" xfId="23461" xr:uid="{D30F7DAD-952D-4721-89C8-12FF685F8715}"/>
    <cellStyle name="20% - Accent4 4 6 3" xfId="10815" xr:uid="{89E7B169-8926-4F60-B966-0082D21A2F14}"/>
    <cellStyle name="20% - Accent4 4 6 4" xfId="19244" xr:uid="{475DD1B1-16D1-457B-A56F-CEEC11F76E36}"/>
    <cellStyle name="20% - Accent4 4 7" xfId="4538" xr:uid="{00000000-0005-0000-0000-00006D020000}"/>
    <cellStyle name="20% - Accent4 4 7 2" xfId="12967" xr:uid="{4D981B76-1455-4685-ABC6-175A2C746A29}"/>
    <cellStyle name="20% - Accent4 4 7 3" xfId="21395" xr:uid="{FED2B8E2-1B36-4C80-89DC-05837B41995A}"/>
    <cellStyle name="20% - Accent4 4 8" xfId="8749" xr:uid="{09FBCDCB-C607-4B4B-BD12-6083CF1998DF}"/>
    <cellStyle name="20% - Accent4 4 9" xfId="17178" xr:uid="{5B656EF3-7794-4F38-BD1A-BAE628C6AACF}"/>
    <cellStyle name="20% - Accent4 5" xfId="595" xr:uid="{00000000-0005-0000-0000-00006E020000}"/>
    <cellStyle name="20% - Accent4 5 2" xfId="2866" xr:uid="{00000000-0005-0000-0000-00006F020000}"/>
    <cellStyle name="20% - Accent4 5 2 2" xfId="7090" xr:uid="{00000000-0005-0000-0000-000070020000}"/>
    <cellStyle name="20% - Accent4 5 2 2 2" xfId="15519" xr:uid="{C83127F9-D84C-4557-951C-E8BA99DA0D1B}"/>
    <cellStyle name="20% - Accent4 5 2 2 3" xfId="23947" xr:uid="{7334630C-4813-4B70-ACD5-369DF52D1FBA}"/>
    <cellStyle name="20% - Accent4 5 2 3" xfId="11301" xr:uid="{01F42512-8F72-4EEC-BE35-679CD41C6E85}"/>
    <cellStyle name="20% - Accent4 5 2 4" xfId="19730" xr:uid="{E728748E-E671-4A32-A9D5-738E63924A9E}"/>
    <cellStyle name="20% - Accent4 5 3" xfId="4945" xr:uid="{00000000-0005-0000-0000-000071020000}"/>
    <cellStyle name="20% - Accent4 5 3 2" xfId="13374" xr:uid="{2DF7413B-17A6-4358-A0A0-DBA80A08DB88}"/>
    <cellStyle name="20% - Accent4 5 3 3" xfId="21802" xr:uid="{BED287EE-1C76-4C53-ABB3-E7F88C2C6525}"/>
    <cellStyle name="20% - Accent4 5 4" xfId="9156" xr:uid="{60623353-1A20-490C-82BC-34D260AF332C}"/>
    <cellStyle name="20% - Accent4 5 5" xfId="17585" xr:uid="{110C4144-3DAE-41D3-A6BB-376DBB35FECD}"/>
    <cellStyle name="20% - Accent4 6" xfId="1048" xr:uid="{00000000-0005-0000-0000-000072020000}"/>
    <cellStyle name="20% - Accent4 6 2" xfId="3279" xr:uid="{00000000-0005-0000-0000-000073020000}"/>
    <cellStyle name="20% - Accent4 6 2 2" xfId="7503" xr:uid="{00000000-0005-0000-0000-000074020000}"/>
    <cellStyle name="20% - Accent4 6 2 2 2" xfId="15932" xr:uid="{42A281BD-B6AC-4F70-82D3-F3073FA0E1DD}"/>
    <cellStyle name="20% - Accent4 6 2 2 3" xfId="24360" xr:uid="{F88ECA1D-BC01-48E2-B3E2-DC62FD966635}"/>
    <cellStyle name="20% - Accent4 6 2 3" xfId="11714" xr:uid="{57500B8B-9454-4C94-8D37-5ADFB5C13A07}"/>
    <cellStyle name="20% - Accent4 6 2 4" xfId="20143" xr:uid="{DB7084BE-624C-4AC8-907F-D40CB853267F}"/>
    <cellStyle name="20% - Accent4 6 3" xfId="5358" xr:uid="{00000000-0005-0000-0000-000075020000}"/>
    <cellStyle name="20% - Accent4 6 3 2" xfId="13787" xr:uid="{3E492846-CD5F-4D08-AB62-A3DD78BA2D3D}"/>
    <cellStyle name="20% - Accent4 6 3 3" xfId="22215" xr:uid="{32758D68-6134-4AF6-84B6-86D9F9687B94}"/>
    <cellStyle name="20% - Accent4 6 4" xfId="9569" xr:uid="{2968BFD9-6C9C-46E0-AC7F-423A303D62A8}"/>
    <cellStyle name="20% - Accent4 6 5" xfId="17998" xr:uid="{975145CC-3CBE-4158-B67F-3E446EC0708B}"/>
    <cellStyle name="20% - Accent4 7" xfId="1462" xr:uid="{00000000-0005-0000-0000-000076020000}"/>
    <cellStyle name="20% - Accent4 7 2" xfId="3692" xr:uid="{00000000-0005-0000-0000-000077020000}"/>
    <cellStyle name="20% - Accent4 7 2 2" xfId="7916" xr:uid="{00000000-0005-0000-0000-000078020000}"/>
    <cellStyle name="20% - Accent4 7 2 2 2" xfId="16345" xr:uid="{0AA234F0-9848-4F8B-B976-28C81A857963}"/>
    <cellStyle name="20% - Accent4 7 2 2 3" xfId="24773" xr:uid="{2C03E5B0-E000-41FC-8D5A-F48C7EBB9B0C}"/>
    <cellStyle name="20% - Accent4 7 2 3" xfId="12127" xr:uid="{F56B6C4E-94F1-41D2-91EC-6AD5D6C56A6E}"/>
    <cellStyle name="20% - Accent4 7 2 4" xfId="20556" xr:uid="{32104E0E-98B3-43B0-85EA-DC91A90A295E}"/>
    <cellStyle name="20% - Accent4 7 3" xfId="5771" xr:uid="{00000000-0005-0000-0000-000079020000}"/>
    <cellStyle name="20% - Accent4 7 3 2" xfId="14200" xr:uid="{538BEB69-C4D3-49DE-BBF9-C331351CE663}"/>
    <cellStyle name="20% - Accent4 7 3 3" xfId="22628" xr:uid="{6B5DAAB7-2D6D-47A4-9768-FB61C3BFE9F6}"/>
    <cellStyle name="20% - Accent4 7 4" xfId="9982" xr:uid="{10723F6F-D684-4971-A819-760F10B52631}"/>
    <cellStyle name="20% - Accent4 7 5" xfId="18411" xr:uid="{4F2ED9B4-2D38-4254-A8A0-57022350C3E4}"/>
    <cellStyle name="20% - Accent4 8" xfId="1876" xr:uid="{00000000-0005-0000-0000-00007A020000}"/>
    <cellStyle name="20% - Accent4 8 2" xfId="4105" xr:uid="{00000000-0005-0000-0000-00007B020000}"/>
    <cellStyle name="20% - Accent4 8 2 2" xfId="8329" xr:uid="{00000000-0005-0000-0000-00007C020000}"/>
    <cellStyle name="20% - Accent4 8 2 2 2" xfId="16758" xr:uid="{AA3231BA-B69E-43C5-9685-BBE5B64239A1}"/>
    <cellStyle name="20% - Accent4 8 2 2 3" xfId="25186" xr:uid="{FB30DDB1-0AAF-44EE-ADD0-C6D9450E8515}"/>
    <cellStyle name="20% - Accent4 8 2 3" xfId="12540" xr:uid="{AF631FCD-8126-409D-A3A6-EBF3EDEDDA4F}"/>
    <cellStyle name="20% - Accent4 8 2 4" xfId="20969" xr:uid="{973B982C-CA12-44E1-9B6A-0C2A0965BD57}"/>
    <cellStyle name="20% - Accent4 8 3" xfId="6184" xr:uid="{00000000-0005-0000-0000-00007D020000}"/>
    <cellStyle name="20% - Accent4 8 3 2" xfId="14613" xr:uid="{DE9C83B7-D77A-465E-AFE5-1BEACF0B844A}"/>
    <cellStyle name="20% - Accent4 8 3 3" xfId="23041" xr:uid="{A80C52EA-2280-48C7-8229-73E066DC503C}"/>
    <cellStyle name="20% - Accent4 8 4" xfId="10395" xr:uid="{542C1A12-7E2A-455D-A5B4-0E64991E2222}"/>
    <cellStyle name="20% - Accent4 8 5" xfId="18824" xr:uid="{832CFC09-4BF3-40E8-9ECE-3BF5E887853A}"/>
    <cellStyle name="20% - Accent4 9" xfId="2289" xr:uid="{00000000-0005-0000-0000-00007E020000}"/>
    <cellStyle name="20% - Accent4 9 2" xfId="6597" xr:uid="{00000000-0005-0000-0000-00007F020000}"/>
    <cellStyle name="20% - Accent4 9 2 2" xfId="15026" xr:uid="{EB44F6D4-ADCD-483F-AE69-71FC6D547DB8}"/>
    <cellStyle name="20% - Accent4 9 2 3" xfId="23454" xr:uid="{75E689F1-9F58-4C1C-BCF2-4FED5319B4BC}"/>
    <cellStyle name="20% - Accent4 9 3" xfId="10808" xr:uid="{FA873A2A-002E-4220-916B-47DBA20838DC}"/>
    <cellStyle name="20% - Accent4 9 4" xfId="19237" xr:uid="{FAC01534-CA01-4ACB-A8B0-D1CDA01DF8C3}"/>
    <cellStyle name="20% - Accent5" xfId="33" builtinId="46" customBuiltin="1"/>
    <cellStyle name="20% - Accent5 10" xfId="4539" xr:uid="{00000000-0005-0000-0000-000081020000}"/>
    <cellStyle name="20% - Accent5 10 2" xfId="12968" xr:uid="{730AF73A-9DD0-48B6-A3FD-981D4D4AF42D}"/>
    <cellStyle name="20% - Accent5 10 3" xfId="21396" xr:uid="{C3750547-B159-4C2D-9368-7234572DEE33}"/>
    <cellStyle name="20% - Accent5 11" xfId="8750" xr:uid="{02E80309-10CD-4A31-ADE4-9F1CF7F5CCBA}"/>
    <cellStyle name="20% - Accent5 12" xfId="17179" xr:uid="{AD22D1CB-4FDC-4C1D-8806-30F8AC86656A}"/>
    <cellStyle name="20% - Accent5 2" xfId="34" xr:uid="{00000000-0005-0000-0000-000082020000}"/>
    <cellStyle name="20% - Accent5 2 10" xfId="8751" xr:uid="{381AA745-84F2-45CE-A5BF-A675E585D912}"/>
    <cellStyle name="20% - Accent5 2 11" xfId="17180" xr:uid="{924670BC-4887-47A1-83C0-7BD7D811D32A}"/>
    <cellStyle name="20% - Accent5 2 2" xfId="35" xr:uid="{00000000-0005-0000-0000-000083020000}"/>
    <cellStyle name="20% - Accent5 2 2 10" xfId="17181" xr:uid="{F235307C-133E-4CE9-94A9-6BA2204E1A71}"/>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30" xr:uid="{51386071-0C72-413C-93BE-887752A469D0}"/>
    <cellStyle name="20% - Accent5 2 2 2 2 2 2 3" xfId="23958" xr:uid="{89C523B2-3988-40A3-910D-675DFDAE8C84}"/>
    <cellStyle name="20% - Accent5 2 2 2 2 2 3" xfId="11312" xr:uid="{4F1BF37C-86FE-4995-951A-5DDC0308C277}"/>
    <cellStyle name="20% - Accent5 2 2 2 2 2 4" xfId="19741" xr:uid="{F29EF786-7873-43E5-9001-F15BCD89C41B}"/>
    <cellStyle name="20% - Accent5 2 2 2 2 3" xfId="4956" xr:uid="{00000000-0005-0000-0000-000088020000}"/>
    <cellStyle name="20% - Accent5 2 2 2 2 3 2" xfId="13385" xr:uid="{0D558DAE-5321-4311-AE2A-42119E9237DC}"/>
    <cellStyle name="20% - Accent5 2 2 2 2 3 3" xfId="21813" xr:uid="{1AEBFB34-2C92-4DE4-AD93-D325FB71EF8D}"/>
    <cellStyle name="20% - Accent5 2 2 2 2 4" xfId="9167" xr:uid="{6652C9AD-E7BC-4925-ADC1-F42E4796FC22}"/>
    <cellStyle name="20% - Accent5 2 2 2 2 5" xfId="17596" xr:uid="{4E2ED86F-2895-4F3B-928F-17F40C714BFA}"/>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43" xr:uid="{8460D56B-97F4-479B-B05C-C82D808E258B}"/>
    <cellStyle name="20% - Accent5 2 2 2 3 2 2 3" xfId="24371" xr:uid="{A92D63A3-B752-40E8-9210-CD04FB5C6A43}"/>
    <cellStyle name="20% - Accent5 2 2 2 3 2 3" xfId="11725" xr:uid="{0638C141-4160-4B96-9094-87AEF30AC867}"/>
    <cellStyle name="20% - Accent5 2 2 2 3 2 4" xfId="20154" xr:uid="{D2FDE33A-F949-44CC-B235-C5EC260C0A0B}"/>
    <cellStyle name="20% - Accent5 2 2 2 3 3" xfId="5369" xr:uid="{00000000-0005-0000-0000-00008C020000}"/>
    <cellStyle name="20% - Accent5 2 2 2 3 3 2" xfId="13798" xr:uid="{EFF5F3CE-394E-4299-9B78-42353E6F64A5}"/>
    <cellStyle name="20% - Accent5 2 2 2 3 3 3" xfId="22226" xr:uid="{4D019710-A0EE-492F-9632-CC01A387C815}"/>
    <cellStyle name="20% - Accent5 2 2 2 3 4" xfId="9580" xr:uid="{677780AD-0724-405F-8B21-130B57036995}"/>
    <cellStyle name="20% - Accent5 2 2 2 3 5" xfId="18009" xr:uid="{C886B09D-1FB2-4C66-878C-41CCEFC4507F}"/>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56" xr:uid="{4A0B9616-F691-4B2F-BBFD-4B411C5A10AE}"/>
    <cellStyle name="20% - Accent5 2 2 2 4 2 2 3" xfId="24784" xr:uid="{7CCF7E6B-C0EA-4FA9-8F84-68645A25F21E}"/>
    <cellStyle name="20% - Accent5 2 2 2 4 2 3" xfId="12138" xr:uid="{AE0ABE45-94A4-47C9-9F1C-9D01769F742C}"/>
    <cellStyle name="20% - Accent5 2 2 2 4 2 4" xfId="20567" xr:uid="{60AD70FE-813C-49D1-BE5B-A9071AA5C108}"/>
    <cellStyle name="20% - Accent5 2 2 2 4 3" xfId="5782" xr:uid="{00000000-0005-0000-0000-000090020000}"/>
    <cellStyle name="20% - Accent5 2 2 2 4 3 2" xfId="14211" xr:uid="{95EB83EC-5215-4BD5-ADD8-7BE98FAA554D}"/>
    <cellStyle name="20% - Accent5 2 2 2 4 3 3" xfId="22639" xr:uid="{6CA98601-6D25-4A62-93C1-03500D02916D}"/>
    <cellStyle name="20% - Accent5 2 2 2 4 4" xfId="9993" xr:uid="{97824ED4-F3EB-4D4C-9B5F-0AAF2618207B}"/>
    <cellStyle name="20% - Accent5 2 2 2 4 5" xfId="18422" xr:uid="{557C5905-F39B-4D35-8B58-7E992CDEB037}"/>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9" xr:uid="{8F19256C-66E4-4BDD-BA91-FEDEBF615358}"/>
    <cellStyle name="20% - Accent5 2 2 2 5 2 2 3" xfId="25197" xr:uid="{7E186B60-15D8-45E3-BD34-44A870E525F3}"/>
    <cellStyle name="20% - Accent5 2 2 2 5 2 3" xfId="12551" xr:uid="{735D12F4-EC3C-49CA-926F-6908D4938307}"/>
    <cellStyle name="20% - Accent5 2 2 2 5 2 4" xfId="20980" xr:uid="{F4E04BBD-3311-48C8-B3A5-19476F0FFF4A}"/>
    <cellStyle name="20% - Accent5 2 2 2 5 3" xfId="6195" xr:uid="{00000000-0005-0000-0000-000094020000}"/>
    <cellStyle name="20% - Accent5 2 2 2 5 3 2" xfId="14624" xr:uid="{989ED1EE-CF23-4F0F-9420-B7E235F70038}"/>
    <cellStyle name="20% - Accent5 2 2 2 5 3 3" xfId="23052" xr:uid="{452D39F6-04E4-47AE-91F8-29303485C2FA}"/>
    <cellStyle name="20% - Accent5 2 2 2 5 4" xfId="10406" xr:uid="{02EFEBEE-20C4-4915-ADF1-2840F8D46421}"/>
    <cellStyle name="20% - Accent5 2 2 2 5 5" xfId="18835" xr:uid="{A180AD37-EDB5-40FB-8DF6-33502DA129F4}"/>
    <cellStyle name="20% - Accent5 2 2 2 6" xfId="2300" xr:uid="{00000000-0005-0000-0000-000095020000}"/>
    <cellStyle name="20% - Accent5 2 2 2 6 2" xfId="6608" xr:uid="{00000000-0005-0000-0000-000096020000}"/>
    <cellStyle name="20% - Accent5 2 2 2 6 2 2" xfId="15037" xr:uid="{E97BFD63-4D6F-4E81-9BC9-53B6CE04BEA5}"/>
    <cellStyle name="20% - Accent5 2 2 2 6 2 3" xfId="23465" xr:uid="{DF218AB8-7948-415D-8DDD-2E8958228151}"/>
    <cellStyle name="20% - Accent5 2 2 2 6 3" xfId="10819" xr:uid="{1F28EAAA-DC69-4D3C-9F02-26A51BC36472}"/>
    <cellStyle name="20% - Accent5 2 2 2 6 4" xfId="19248" xr:uid="{E2A1B1BA-4B9D-4DC8-A66E-92A41F6CAD57}"/>
    <cellStyle name="20% - Accent5 2 2 2 7" xfId="4542" xr:uid="{00000000-0005-0000-0000-000097020000}"/>
    <cellStyle name="20% - Accent5 2 2 2 7 2" xfId="12971" xr:uid="{0C385E05-4F07-47EC-A7FE-95B87FE76E8B}"/>
    <cellStyle name="20% - Accent5 2 2 2 7 3" xfId="21399" xr:uid="{344BFC0C-9D33-4AA1-A8F3-CECFBE188ED4}"/>
    <cellStyle name="20% - Accent5 2 2 2 8" xfId="8753" xr:uid="{9620729D-FB2B-43E7-A322-50834011DBDD}"/>
    <cellStyle name="20% - Accent5 2 2 2 9" xfId="17182" xr:uid="{2FDF855F-A49D-4245-A641-ECC52D0C5268}"/>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9" xr:uid="{16DDB70D-54D1-4E37-A68D-FC17FBD7A073}"/>
    <cellStyle name="20% - Accent5 2 2 3 2 2 3" xfId="23957" xr:uid="{7400B7B9-A49F-45E0-A570-DBAB44C2E94C}"/>
    <cellStyle name="20% - Accent5 2 2 3 2 3" xfId="11311" xr:uid="{132962FE-343D-4E97-91A6-E0E9080BB33F}"/>
    <cellStyle name="20% - Accent5 2 2 3 2 4" xfId="19740" xr:uid="{E1543065-2E25-49C2-A28C-583D87D091EF}"/>
    <cellStyle name="20% - Accent5 2 2 3 3" xfId="4955" xr:uid="{00000000-0005-0000-0000-00009B020000}"/>
    <cellStyle name="20% - Accent5 2 2 3 3 2" xfId="13384" xr:uid="{0C884C8A-4B6F-4944-A615-591711B67822}"/>
    <cellStyle name="20% - Accent5 2 2 3 3 3" xfId="21812" xr:uid="{539C1033-B2E5-4475-A201-3E3AF779E999}"/>
    <cellStyle name="20% - Accent5 2 2 3 4" xfId="9166" xr:uid="{9C741D0E-B793-4FCE-99DC-704D21088479}"/>
    <cellStyle name="20% - Accent5 2 2 3 5" xfId="17595" xr:uid="{E9D48819-B456-44AC-A598-CABBC35E5766}"/>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42" xr:uid="{828A59D0-D5E8-42EF-94F0-862392970EF5}"/>
    <cellStyle name="20% - Accent5 2 2 4 2 2 3" xfId="24370" xr:uid="{19D4A83C-021B-4E21-8626-B81E9844AB0A}"/>
    <cellStyle name="20% - Accent5 2 2 4 2 3" xfId="11724" xr:uid="{0883FC91-DD84-45FD-8D74-9099365E192E}"/>
    <cellStyle name="20% - Accent5 2 2 4 2 4" xfId="20153" xr:uid="{BBF1D640-AA13-4255-AC93-1EB6EC7DE274}"/>
    <cellStyle name="20% - Accent5 2 2 4 3" xfId="5368" xr:uid="{00000000-0005-0000-0000-00009F020000}"/>
    <cellStyle name="20% - Accent5 2 2 4 3 2" xfId="13797" xr:uid="{CBAC32E0-D1C8-437B-BE06-D6215CBA32B2}"/>
    <cellStyle name="20% - Accent5 2 2 4 3 3" xfId="22225" xr:uid="{C51CC6AF-1A8A-488A-BE2B-AF5E13AA09A9}"/>
    <cellStyle name="20% - Accent5 2 2 4 4" xfId="9579" xr:uid="{DD781F8D-5298-4A92-AA45-9009A2CDDA30}"/>
    <cellStyle name="20% - Accent5 2 2 4 5" xfId="18008" xr:uid="{E5C56A3E-1C89-4EA7-9FB2-4E9A48D141C4}"/>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55" xr:uid="{B4930A6E-29C0-4670-B723-BECEB0432E2F}"/>
    <cellStyle name="20% - Accent5 2 2 5 2 2 3" xfId="24783" xr:uid="{C436C513-D49B-4A96-B688-976B33AAD36E}"/>
    <cellStyle name="20% - Accent5 2 2 5 2 3" xfId="12137" xr:uid="{9754065E-6496-476E-A84F-F63F3741CCA0}"/>
    <cellStyle name="20% - Accent5 2 2 5 2 4" xfId="20566" xr:uid="{D0DA9486-88BD-4CEA-BF38-0AF8BFBF57B7}"/>
    <cellStyle name="20% - Accent5 2 2 5 3" xfId="5781" xr:uid="{00000000-0005-0000-0000-0000A3020000}"/>
    <cellStyle name="20% - Accent5 2 2 5 3 2" xfId="14210" xr:uid="{04448400-62BA-48F8-BCE0-90351BBF8CDD}"/>
    <cellStyle name="20% - Accent5 2 2 5 3 3" xfId="22638" xr:uid="{EDBA20F9-58FA-4FB9-A7DE-7C4588CDF083}"/>
    <cellStyle name="20% - Accent5 2 2 5 4" xfId="9992" xr:uid="{BF2409BA-6198-4D25-871C-21284160E844}"/>
    <cellStyle name="20% - Accent5 2 2 5 5" xfId="18421" xr:uid="{3321695D-1C45-48D2-98C2-4A0EFA5ADAEF}"/>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8" xr:uid="{5B4A303F-7C88-41F3-9D78-9D593F4DBB32}"/>
    <cellStyle name="20% - Accent5 2 2 6 2 2 3" xfId="25196" xr:uid="{B9F270E4-53D8-461E-BB21-6F6D0F9FE511}"/>
    <cellStyle name="20% - Accent5 2 2 6 2 3" xfId="12550" xr:uid="{708AF8D7-3671-4D0D-97B1-D1B4FB2AD385}"/>
    <cellStyle name="20% - Accent5 2 2 6 2 4" xfId="20979" xr:uid="{A7D1D1EB-8978-4DEE-8DF8-0AB76E55B7A3}"/>
    <cellStyle name="20% - Accent5 2 2 6 3" xfId="6194" xr:uid="{00000000-0005-0000-0000-0000A7020000}"/>
    <cellStyle name="20% - Accent5 2 2 6 3 2" xfId="14623" xr:uid="{0A42D81C-3069-42AA-BDE4-5EAE71F14D1E}"/>
    <cellStyle name="20% - Accent5 2 2 6 3 3" xfId="23051" xr:uid="{63576185-90DF-4F06-9519-A38C9CDC8352}"/>
    <cellStyle name="20% - Accent5 2 2 6 4" xfId="10405" xr:uid="{A0A2CD1B-BBD5-4DE5-9494-A41861056EDA}"/>
    <cellStyle name="20% - Accent5 2 2 6 5" xfId="18834" xr:uid="{4403A175-D49E-421E-B2AB-DD0192275523}"/>
    <cellStyle name="20% - Accent5 2 2 7" xfId="2299" xr:uid="{00000000-0005-0000-0000-0000A8020000}"/>
    <cellStyle name="20% - Accent5 2 2 7 2" xfId="6607" xr:uid="{00000000-0005-0000-0000-0000A9020000}"/>
    <cellStyle name="20% - Accent5 2 2 7 2 2" xfId="15036" xr:uid="{564772F6-A9A5-46BE-A57E-C47472A000BC}"/>
    <cellStyle name="20% - Accent5 2 2 7 2 3" xfId="23464" xr:uid="{F020514F-D954-4053-BA2D-C2DD96704A7A}"/>
    <cellStyle name="20% - Accent5 2 2 7 3" xfId="10818" xr:uid="{CC57D4DD-8D3E-44D0-BF97-8ABDAD4CB1BA}"/>
    <cellStyle name="20% - Accent5 2 2 7 4" xfId="19247" xr:uid="{894F907F-B569-462C-B188-DAC557FB0214}"/>
    <cellStyle name="20% - Accent5 2 2 8" xfId="4541" xr:uid="{00000000-0005-0000-0000-0000AA020000}"/>
    <cellStyle name="20% - Accent5 2 2 8 2" xfId="12970" xr:uid="{61700F84-56B3-4B3E-96E0-8E8F184B5CAA}"/>
    <cellStyle name="20% - Accent5 2 2 8 3" xfId="21398" xr:uid="{8E30FE0C-564A-472E-A1E8-140D4E950309}"/>
    <cellStyle name="20% - Accent5 2 2 9" xfId="8752" xr:uid="{46CA45C1-85F3-4F01-804F-C9D5ADBE2FFB}"/>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31" xr:uid="{B338AB7A-C3ED-4F84-AE50-BA4BC5E8BF4B}"/>
    <cellStyle name="20% - Accent5 2 3 2 2 2 3" xfId="23959" xr:uid="{0FB7B586-9597-411B-B79B-66306A60B043}"/>
    <cellStyle name="20% - Accent5 2 3 2 2 3" xfId="11313" xr:uid="{D3F779BB-8782-4144-9B3E-E2DCE4A17930}"/>
    <cellStyle name="20% - Accent5 2 3 2 2 4" xfId="19742" xr:uid="{0CCCB637-1B27-474B-9017-5A4CBC26E49C}"/>
    <cellStyle name="20% - Accent5 2 3 2 3" xfId="4957" xr:uid="{00000000-0005-0000-0000-0000AF020000}"/>
    <cellStyle name="20% - Accent5 2 3 2 3 2" xfId="13386" xr:uid="{1E562075-D09B-49E9-9862-1F198394CE42}"/>
    <cellStyle name="20% - Accent5 2 3 2 3 3" xfId="21814" xr:uid="{B7B8EC97-A2F5-4CFE-BF1B-4CEACA115E80}"/>
    <cellStyle name="20% - Accent5 2 3 2 4" xfId="9168" xr:uid="{04A49A41-F3B8-4D91-8377-9A97DDE55C66}"/>
    <cellStyle name="20% - Accent5 2 3 2 5" xfId="17597" xr:uid="{20717071-5118-41C5-B803-E46D600E908F}"/>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44" xr:uid="{63E2CDDD-429A-4272-B8BE-A849C320BF60}"/>
    <cellStyle name="20% - Accent5 2 3 3 2 2 3" xfId="24372" xr:uid="{29F9A525-F021-4866-901F-AB3D1FABE251}"/>
    <cellStyle name="20% - Accent5 2 3 3 2 3" xfId="11726" xr:uid="{A6CED67B-DE25-42C4-8ABC-A9D90154C62F}"/>
    <cellStyle name="20% - Accent5 2 3 3 2 4" xfId="20155" xr:uid="{C0B39868-5EBF-4E03-8D90-E054EE0C9787}"/>
    <cellStyle name="20% - Accent5 2 3 3 3" xfId="5370" xr:uid="{00000000-0005-0000-0000-0000B3020000}"/>
    <cellStyle name="20% - Accent5 2 3 3 3 2" xfId="13799" xr:uid="{EFC2429F-4D95-4D85-99A8-4A49ED3F97A9}"/>
    <cellStyle name="20% - Accent5 2 3 3 3 3" xfId="22227" xr:uid="{0C1134E9-ACC2-4968-9BBB-4C3FE605B55B}"/>
    <cellStyle name="20% - Accent5 2 3 3 4" xfId="9581" xr:uid="{2CA10DA8-9FBF-4422-B71F-D894E387444A}"/>
    <cellStyle name="20% - Accent5 2 3 3 5" xfId="18010" xr:uid="{55F76FDF-4C21-4094-80C0-B382753C510A}"/>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7" xr:uid="{F404EE41-06AC-4392-B3E5-E569ACC36F5A}"/>
    <cellStyle name="20% - Accent5 2 3 4 2 2 3" xfId="24785" xr:uid="{27ABFCBE-D9A9-4F36-96DA-0144A7CB5B88}"/>
    <cellStyle name="20% - Accent5 2 3 4 2 3" xfId="12139" xr:uid="{52BE07D5-A9E5-4F78-9F5A-9658296DB918}"/>
    <cellStyle name="20% - Accent5 2 3 4 2 4" xfId="20568" xr:uid="{159EC06B-F212-4679-B1A2-A21C11933A56}"/>
    <cellStyle name="20% - Accent5 2 3 4 3" xfId="5783" xr:uid="{00000000-0005-0000-0000-0000B7020000}"/>
    <cellStyle name="20% - Accent5 2 3 4 3 2" xfId="14212" xr:uid="{5FE5796C-EF66-40E1-A9FD-53D925BA9E0F}"/>
    <cellStyle name="20% - Accent5 2 3 4 3 3" xfId="22640" xr:uid="{9B464D9E-066D-4A55-9192-CDA79DAA2198}"/>
    <cellStyle name="20% - Accent5 2 3 4 4" xfId="9994" xr:uid="{86D6ED5A-3097-4460-B753-75D677FB00B0}"/>
    <cellStyle name="20% - Accent5 2 3 4 5" xfId="18423" xr:uid="{DE90C41E-5B5A-422E-93A4-6518ED582936}"/>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70" xr:uid="{65A81037-D00F-4807-8522-62AD45BE5EE5}"/>
    <cellStyle name="20% - Accent5 2 3 5 2 2 3" xfId="25198" xr:uid="{D922D835-9739-4722-9FD7-FB131693B60E}"/>
    <cellStyle name="20% - Accent5 2 3 5 2 3" xfId="12552" xr:uid="{1635554C-6B58-42F7-B7F4-A3EEBE21AB7F}"/>
    <cellStyle name="20% - Accent5 2 3 5 2 4" xfId="20981" xr:uid="{295FD18B-57B2-413C-9B43-398D11CE1781}"/>
    <cellStyle name="20% - Accent5 2 3 5 3" xfId="6196" xr:uid="{00000000-0005-0000-0000-0000BB020000}"/>
    <cellStyle name="20% - Accent5 2 3 5 3 2" xfId="14625" xr:uid="{898D4998-9227-4A4D-8B0B-A06EBE332583}"/>
    <cellStyle name="20% - Accent5 2 3 5 3 3" xfId="23053" xr:uid="{1E5CF325-2DF3-411F-A5CE-E197EB80DA3D}"/>
    <cellStyle name="20% - Accent5 2 3 5 4" xfId="10407" xr:uid="{E1849332-DA3D-4789-B653-A29DCCC8B41E}"/>
    <cellStyle name="20% - Accent5 2 3 5 5" xfId="18836" xr:uid="{29C60A2C-45D1-42CE-95D8-07BE6D819FA9}"/>
    <cellStyle name="20% - Accent5 2 3 6" xfId="2301" xr:uid="{00000000-0005-0000-0000-0000BC020000}"/>
    <cellStyle name="20% - Accent5 2 3 6 2" xfId="6609" xr:uid="{00000000-0005-0000-0000-0000BD020000}"/>
    <cellStyle name="20% - Accent5 2 3 6 2 2" xfId="15038" xr:uid="{DFE711C3-B00D-4868-AB10-785948494B73}"/>
    <cellStyle name="20% - Accent5 2 3 6 2 3" xfId="23466" xr:uid="{AB2DFFC2-EE09-4C98-86E3-CE43AA5D9CFE}"/>
    <cellStyle name="20% - Accent5 2 3 6 3" xfId="10820" xr:uid="{9A73F50A-E822-4AE0-8647-3811024C92F0}"/>
    <cellStyle name="20% - Accent5 2 3 6 4" xfId="19249" xr:uid="{89CDC24C-E3BB-4903-A203-DD5F53B65386}"/>
    <cellStyle name="20% - Accent5 2 3 7" xfId="4543" xr:uid="{00000000-0005-0000-0000-0000BE020000}"/>
    <cellStyle name="20% - Accent5 2 3 7 2" xfId="12972" xr:uid="{1594AAA7-99EE-434D-8ED8-3F96C72BEAF3}"/>
    <cellStyle name="20% - Accent5 2 3 7 3" xfId="21400" xr:uid="{ED519FE2-6135-4E9D-8023-CC4ED8E7D3E8}"/>
    <cellStyle name="20% - Accent5 2 3 8" xfId="8754" xr:uid="{791583A0-C10E-4934-87A9-E3A72B85EB9E}"/>
    <cellStyle name="20% - Accent5 2 3 9" xfId="17183" xr:uid="{B63C586F-B4F0-4E7A-90BA-E924BBCBEA06}"/>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8" xr:uid="{2D568F92-B9FE-49F8-8092-2AED35B5DC31}"/>
    <cellStyle name="20% - Accent5 2 4 2 2 3" xfId="23956" xr:uid="{3722BEC8-60A8-4F4D-AFC5-559C42C38323}"/>
    <cellStyle name="20% - Accent5 2 4 2 3" xfId="11310" xr:uid="{D8D8E735-E709-4D2C-86A2-73D7EDF588B8}"/>
    <cellStyle name="20% - Accent5 2 4 2 4" xfId="19739" xr:uid="{74AADF82-D80A-4AA7-AA75-889450FDAFC6}"/>
    <cellStyle name="20% - Accent5 2 4 3" xfId="4954" xr:uid="{00000000-0005-0000-0000-0000C2020000}"/>
    <cellStyle name="20% - Accent5 2 4 3 2" xfId="13383" xr:uid="{BD3CCB0D-B310-4D11-BCDF-95D9A45B0420}"/>
    <cellStyle name="20% - Accent5 2 4 3 3" xfId="21811" xr:uid="{F05170B5-B50D-4A17-A68F-C2FD737FAB9B}"/>
    <cellStyle name="20% - Accent5 2 4 4" xfId="9165" xr:uid="{62DEC2DD-B517-43F5-8CB4-292212D5D85E}"/>
    <cellStyle name="20% - Accent5 2 4 5" xfId="17594" xr:uid="{2EB90BB9-FD5E-4D54-8B8A-E6EE69743636}"/>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41" xr:uid="{23A1B850-21A6-417D-9640-11528DA313BA}"/>
    <cellStyle name="20% - Accent5 2 5 2 2 3" xfId="24369" xr:uid="{434F2862-53E7-4AE8-8D29-6885A2BA6442}"/>
    <cellStyle name="20% - Accent5 2 5 2 3" xfId="11723" xr:uid="{26A2054A-3972-42D0-A294-46D12ECDEED6}"/>
    <cellStyle name="20% - Accent5 2 5 2 4" xfId="20152" xr:uid="{DDB91BE7-F7C4-4EE5-9EBF-B3E92509759B}"/>
    <cellStyle name="20% - Accent5 2 5 3" xfId="5367" xr:uid="{00000000-0005-0000-0000-0000C6020000}"/>
    <cellStyle name="20% - Accent5 2 5 3 2" xfId="13796" xr:uid="{0B9CD6C2-4681-4EC0-BE26-27800E8B31F0}"/>
    <cellStyle name="20% - Accent5 2 5 3 3" xfId="22224" xr:uid="{83D4AC68-BAF8-41D4-BFBE-C847900DFB45}"/>
    <cellStyle name="20% - Accent5 2 5 4" xfId="9578" xr:uid="{0D8F6B6D-F72B-4457-85ED-BFC579F2E819}"/>
    <cellStyle name="20% - Accent5 2 5 5" xfId="18007" xr:uid="{8AB9A271-36AA-4DD4-90D6-4F4D7BA7E213}"/>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54" xr:uid="{E45E86EB-4560-4551-9E8B-DD88292D554C}"/>
    <cellStyle name="20% - Accent5 2 6 2 2 3" xfId="24782" xr:uid="{AEF6470E-BBEC-4B88-BD9B-96DD5239E882}"/>
    <cellStyle name="20% - Accent5 2 6 2 3" xfId="12136" xr:uid="{A32634FB-E7AF-41C6-A4E4-BD8733967A9C}"/>
    <cellStyle name="20% - Accent5 2 6 2 4" xfId="20565" xr:uid="{E85E18DF-6F4A-4F49-9A2B-60E6D5F8E3C8}"/>
    <cellStyle name="20% - Accent5 2 6 3" xfId="5780" xr:uid="{00000000-0005-0000-0000-0000CA020000}"/>
    <cellStyle name="20% - Accent5 2 6 3 2" xfId="14209" xr:uid="{747267A8-4159-4409-B644-46E8DB954E08}"/>
    <cellStyle name="20% - Accent5 2 6 3 3" xfId="22637" xr:uid="{56D80803-509B-47A2-B4C1-77B148597DA8}"/>
    <cellStyle name="20% - Accent5 2 6 4" xfId="9991" xr:uid="{D52FA1CB-5EAF-4178-A823-05FACA5D0D4B}"/>
    <cellStyle name="20% - Accent5 2 6 5" xfId="18420" xr:uid="{1C220B58-9611-4AAE-8CB7-5EE2476AFED5}"/>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7" xr:uid="{77521564-79CD-4B3C-A3D0-7118AE14FC43}"/>
    <cellStyle name="20% - Accent5 2 7 2 2 3" xfId="25195" xr:uid="{8113EDA9-3FAA-4735-B44E-9BB442D72B80}"/>
    <cellStyle name="20% - Accent5 2 7 2 3" xfId="12549" xr:uid="{39E32D4D-A0DB-4074-BD80-081FE8DA5448}"/>
    <cellStyle name="20% - Accent5 2 7 2 4" xfId="20978" xr:uid="{A3F3EE40-A25E-4F8E-B148-2379952767B9}"/>
    <cellStyle name="20% - Accent5 2 7 3" xfId="6193" xr:uid="{00000000-0005-0000-0000-0000CE020000}"/>
    <cellStyle name="20% - Accent5 2 7 3 2" xfId="14622" xr:uid="{13FE2579-8387-44B0-B4B5-45D621BC2715}"/>
    <cellStyle name="20% - Accent5 2 7 3 3" xfId="23050" xr:uid="{C7708171-E9EF-4BE6-A117-A7E9DA9C8085}"/>
    <cellStyle name="20% - Accent5 2 7 4" xfId="10404" xr:uid="{0512A022-3565-444B-8410-ED1CF068F637}"/>
    <cellStyle name="20% - Accent5 2 7 5" xfId="18833" xr:uid="{109E3623-ED93-49EA-9A8C-BD91BEDED5F7}"/>
    <cellStyle name="20% - Accent5 2 8" xfId="2298" xr:uid="{00000000-0005-0000-0000-0000CF020000}"/>
    <cellStyle name="20% - Accent5 2 8 2" xfId="6606" xr:uid="{00000000-0005-0000-0000-0000D0020000}"/>
    <cellStyle name="20% - Accent5 2 8 2 2" xfId="15035" xr:uid="{4959D252-50F2-4E01-9B92-211E8FBE91C5}"/>
    <cellStyle name="20% - Accent5 2 8 2 3" xfId="23463" xr:uid="{3ACC0A8A-E1D8-4A41-9465-587F042E17F4}"/>
    <cellStyle name="20% - Accent5 2 8 3" xfId="10817" xr:uid="{D11CA7C9-A4AD-42A5-9CA1-2FB9B87F9A50}"/>
    <cellStyle name="20% - Accent5 2 8 4" xfId="19246" xr:uid="{677712DD-4BE1-493A-BDAB-20EA02C0B578}"/>
    <cellStyle name="20% - Accent5 2 9" xfId="4540" xr:uid="{00000000-0005-0000-0000-0000D1020000}"/>
    <cellStyle name="20% - Accent5 2 9 2" xfId="12969" xr:uid="{9385B599-9719-4B60-935E-39A24418A25C}"/>
    <cellStyle name="20% - Accent5 2 9 3" xfId="21397" xr:uid="{EA4B5249-E0E6-4E05-9D3C-8CB9E2C877AB}"/>
    <cellStyle name="20% - Accent5 3" xfId="38" xr:uid="{00000000-0005-0000-0000-0000D2020000}"/>
    <cellStyle name="20% - Accent5 3 10" xfId="17184" xr:uid="{9344F949-1783-4E67-BE46-D1C6854F92FD}"/>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33" xr:uid="{EACB567F-C2A4-445E-9A4B-9396F513DAB4}"/>
    <cellStyle name="20% - Accent5 3 2 2 2 2 3" xfId="23961" xr:uid="{34CFD2E8-D69E-4DAB-BFC7-32D333CDAFDD}"/>
    <cellStyle name="20% - Accent5 3 2 2 2 3" xfId="11315" xr:uid="{C47BDBAE-772E-4918-B1D0-A398549A4021}"/>
    <cellStyle name="20% - Accent5 3 2 2 2 4" xfId="19744" xr:uid="{D3CDBC2F-4262-452E-8B39-2243B1FC6CA6}"/>
    <cellStyle name="20% - Accent5 3 2 2 3" xfId="4959" xr:uid="{00000000-0005-0000-0000-0000D7020000}"/>
    <cellStyle name="20% - Accent5 3 2 2 3 2" xfId="13388" xr:uid="{F38F1919-3C48-4188-97F8-608B46DE03F3}"/>
    <cellStyle name="20% - Accent5 3 2 2 3 3" xfId="21816" xr:uid="{BB627EEB-7F0E-4D97-8894-B488DBEEB187}"/>
    <cellStyle name="20% - Accent5 3 2 2 4" xfId="9170" xr:uid="{C2841DCA-5B88-4D85-B9FF-C666A1C1CB70}"/>
    <cellStyle name="20% - Accent5 3 2 2 5" xfId="17599" xr:uid="{578E5C1D-1836-41C5-A099-A667625E16D5}"/>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46" xr:uid="{70A72738-B2C8-4DBF-8FC6-08819D0ADE0D}"/>
    <cellStyle name="20% - Accent5 3 2 3 2 2 3" xfId="24374" xr:uid="{F49E7C86-4C34-4E79-B4B0-41E1000D562A}"/>
    <cellStyle name="20% - Accent5 3 2 3 2 3" xfId="11728" xr:uid="{9608BEE9-203D-4296-ADEC-E9C1F5DB5A51}"/>
    <cellStyle name="20% - Accent5 3 2 3 2 4" xfId="20157" xr:uid="{013B7E04-B9BD-4421-BF7F-FA1B39B97436}"/>
    <cellStyle name="20% - Accent5 3 2 3 3" xfId="5372" xr:uid="{00000000-0005-0000-0000-0000DB020000}"/>
    <cellStyle name="20% - Accent5 3 2 3 3 2" xfId="13801" xr:uid="{CB70E63E-2E7A-4BCC-9720-48F0BEBEEB8F}"/>
    <cellStyle name="20% - Accent5 3 2 3 3 3" xfId="22229" xr:uid="{B61B1042-9D11-4739-91B1-64E6CDC95509}"/>
    <cellStyle name="20% - Accent5 3 2 3 4" xfId="9583" xr:uid="{97B3317F-B987-4900-ADF0-F6A725422476}"/>
    <cellStyle name="20% - Accent5 3 2 3 5" xfId="18012" xr:uid="{832BCEED-60EA-45B4-9F9D-24D0EB9357B7}"/>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9" xr:uid="{24148CCE-671B-42A1-B4B5-77AB8D2F2DD9}"/>
    <cellStyle name="20% - Accent5 3 2 4 2 2 3" xfId="24787" xr:uid="{E2EB9A9E-32F5-4545-BE5E-3B9484E25A39}"/>
    <cellStyle name="20% - Accent5 3 2 4 2 3" xfId="12141" xr:uid="{759F0C00-306B-4F74-9923-9A62FA4A5107}"/>
    <cellStyle name="20% - Accent5 3 2 4 2 4" xfId="20570" xr:uid="{D5AA4F55-3C38-41AA-8D9D-881034D9BDD0}"/>
    <cellStyle name="20% - Accent5 3 2 4 3" xfId="5785" xr:uid="{00000000-0005-0000-0000-0000DF020000}"/>
    <cellStyle name="20% - Accent5 3 2 4 3 2" xfId="14214" xr:uid="{BEF19FA5-EDA8-4FFD-AF8C-B26BC0437A01}"/>
    <cellStyle name="20% - Accent5 3 2 4 3 3" xfId="22642" xr:uid="{20236775-3387-4C2C-AB53-B8A1BD18DEC3}"/>
    <cellStyle name="20% - Accent5 3 2 4 4" xfId="9996" xr:uid="{9D2BCB39-CC2E-408D-B40B-5F76AED840C2}"/>
    <cellStyle name="20% - Accent5 3 2 4 5" xfId="18425" xr:uid="{61919A0F-28C8-43AC-8593-ACACB404BE26}"/>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72" xr:uid="{C1B29E62-A509-4F39-B4B9-544B12F21F93}"/>
    <cellStyle name="20% - Accent5 3 2 5 2 2 3" xfId="25200" xr:uid="{3D845C79-42B8-4842-B64C-31E3E1CEDF59}"/>
    <cellStyle name="20% - Accent5 3 2 5 2 3" xfId="12554" xr:uid="{E7C89F49-84A3-43F1-871D-9C00A8A430C8}"/>
    <cellStyle name="20% - Accent5 3 2 5 2 4" xfId="20983" xr:uid="{02A4A959-B87E-40C2-A4BD-F0723224E878}"/>
    <cellStyle name="20% - Accent5 3 2 5 3" xfId="6198" xr:uid="{00000000-0005-0000-0000-0000E3020000}"/>
    <cellStyle name="20% - Accent5 3 2 5 3 2" xfId="14627" xr:uid="{B495ABA9-EC6D-4845-8957-3FF26D96AD6E}"/>
    <cellStyle name="20% - Accent5 3 2 5 3 3" xfId="23055" xr:uid="{13C715D8-8736-47FD-BDAB-8354BCEF2282}"/>
    <cellStyle name="20% - Accent5 3 2 5 4" xfId="10409" xr:uid="{53427611-9B28-4778-988B-6895C70D8CD8}"/>
    <cellStyle name="20% - Accent5 3 2 5 5" xfId="18838" xr:uid="{43DB4DDD-0D87-4D0C-B5F7-D8A4C2ED37F5}"/>
    <cellStyle name="20% - Accent5 3 2 6" xfId="2303" xr:uid="{00000000-0005-0000-0000-0000E4020000}"/>
    <cellStyle name="20% - Accent5 3 2 6 2" xfId="6611" xr:uid="{00000000-0005-0000-0000-0000E5020000}"/>
    <cellStyle name="20% - Accent5 3 2 6 2 2" xfId="15040" xr:uid="{CCBC72B3-5A9F-4126-87E8-650E9FDBC2AC}"/>
    <cellStyle name="20% - Accent5 3 2 6 2 3" xfId="23468" xr:uid="{5DC8C8F6-1068-4EF7-90D0-AFFEF87B03A8}"/>
    <cellStyle name="20% - Accent5 3 2 6 3" xfId="10822" xr:uid="{BA0C36BE-DB8C-4E41-9FE7-E4430F60FD9F}"/>
    <cellStyle name="20% - Accent5 3 2 6 4" xfId="19251" xr:uid="{1CB0E2F7-7B47-4A4E-B55C-EAA6AC703D98}"/>
    <cellStyle name="20% - Accent5 3 2 7" xfId="4545" xr:uid="{00000000-0005-0000-0000-0000E6020000}"/>
    <cellStyle name="20% - Accent5 3 2 7 2" xfId="12974" xr:uid="{C842387B-F61A-46B4-98D7-EBBB9AA7AF66}"/>
    <cellStyle name="20% - Accent5 3 2 7 3" xfId="21402" xr:uid="{3C03C9EF-9387-4074-95DD-551D09AA749B}"/>
    <cellStyle name="20% - Accent5 3 2 8" xfId="8756" xr:uid="{A1980D16-C841-403D-AC23-ABBCAA619628}"/>
    <cellStyle name="20% - Accent5 3 2 9" xfId="17185" xr:uid="{514C2F9F-1B2E-470E-9A27-80BA98B10B62}"/>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32" xr:uid="{EA228E47-F4DF-44FE-9880-0E60ABFCDE27}"/>
    <cellStyle name="20% - Accent5 3 3 2 2 3" xfId="23960" xr:uid="{B195F25A-CE06-4183-821C-2A2F2E70E42A}"/>
    <cellStyle name="20% - Accent5 3 3 2 3" xfId="11314" xr:uid="{189E2D8A-4109-493C-87EB-EDCF20CB2C0A}"/>
    <cellStyle name="20% - Accent5 3 3 2 4" xfId="19743" xr:uid="{E3F61229-9A4A-4498-9722-F66B721FF30D}"/>
    <cellStyle name="20% - Accent5 3 3 3" xfId="4958" xr:uid="{00000000-0005-0000-0000-0000EA020000}"/>
    <cellStyle name="20% - Accent5 3 3 3 2" xfId="13387" xr:uid="{70284D27-D7EF-476F-83F0-A9EEA9C77FAB}"/>
    <cellStyle name="20% - Accent5 3 3 3 3" xfId="21815" xr:uid="{91DAC7EF-23DC-4306-BAED-9F3646F5480C}"/>
    <cellStyle name="20% - Accent5 3 3 4" xfId="9169" xr:uid="{1592DF35-83DF-49F5-8D34-E2A7AF06B740}"/>
    <cellStyle name="20% - Accent5 3 3 5" xfId="17598" xr:uid="{1233E3F6-8C09-47DD-B3A4-58692ACBBD04}"/>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45" xr:uid="{B0889B45-F76D-4BDA-BD4F-0B4E1ED579AC}"/>
    <cellStyle name="20% - Accent5 3 4 2 2 3" xfId="24373" xr:uid="{55A0FAB5-A940-408D-8B13-8325ADB3B46F}"/>
    <cellStyle name="20% - Accent5 3 4 2 3" xfId="11727" xr:uid="{BA03D803-D1DD-4EBD-B12A-8972243A75D7}"/>
    <cellStyle name="20% - Accent5 3 4 2 4" xfId="20156" xr:uid="{0083799D-029A-4A16-BCCC-11E93E2E1FBA}"/>
    <cellStyle name="20% - Accent5 3 4 3" xfId="5371" xr:uid="{00000000-0005-0000-0000-0000EE020000}"/>
    <cellStyle name="20% - Accent5 3 4 3 2" xfId="13800" xr:uid="{ED932C71-42B9-4F9A-A177-F6ED6B60CA1A}"/>
    <cellStyle name="20% - Accent5 3 4 3 3" xfId="22228" xr:uid="{9F38F4DF-627F-4350-8499-44F509528626}"/>
    <cellStyle name="20% - Accent5 3 4 4" xfId="9582" xr:uid="{FAF5493E-8C14-4B0F-975C-4D822EEB2DC2}"/>
    <cellStyle name="20% - Accent5 3 4 5" xfId="18011" xr:uid="{9936ACEC-B6DB-4923-9DE4-8295D9E975D2}"/>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8" xr:uid="{F130C5D7-6740-41E7-A743-B7B9BF6487DF}"/>
    <cellStyle name="20% - Accent5 3 5 2 2 3" xfId="24786" xr:uid="{156307A7-92E2-4FDC-A707-AC519DF83DC8}"/>
    <cellStyle name="20% - Accent5 3 5 2 3" xfId="12140" xr:uid="{A078E29C-EDD9-46F1-9DC0-5E11FDB094DD}"/>
    <cellStyle name="20% - Accent5 3 5 2 4" xfId="20569" xr:uid="{32E97D7D-7D90-4551-83FD-487836AFD987}"/>
    <cellStyle name="20% - Accent5 3 5 3" xfId="5784" xr:uid="{00000000-0005-0000-0000-0000F2020000}"/>
    <cellStyle name="20% - Accent5 3 5 3 2" xfId="14213" xr:uid="{5055B846-A9B0-4749-8D69-B7E9928656D9}"/>
    <cellStyle name="20% - Accent5 3 5 3 3" xfId="22641" xr:uid="{B5EDA9AB-E595-40EB-B81A-5E822DED9A2E}"/>
    <cellStyle name="20% - Accent5 3 5 4" xfId="9995" xr:uid="{F1B573BC-6F94-4720-BA5B-4757828E3AA9}"/>
    <cellStyle name="20% - Accent5 3 5 5" xfId="18424" xr:uid="{BEC4F362-FBA7-493A-A254-20345F03DD41}"/>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71" xr:uid="{59413448-C684-436A-8B89-0862B5ADF013}"/>
    <cellStyle name="20% - Accent5 3 6 2 2 3" xfId="25199" xr:uid="{17A22E5A-444D-4A2E-83EA-E5FFAF78CC10}"/>
    <cellStyle name="20% - Accent5 3 6 2 3" xfId="12553" xr:uid="{37C6B00D-B9CE-4697-8136-EB1C8DF656C2}"/>
    <cellStyle name="20% - Accent5 3 6 2 4" xfId="20982" xr:uid="{45BEE484-5F89-4BC2-AAC8-B9D796B869AA}"/>
    <cellStyle name="20% - Accent5 3 6 3" xfId="6197" xr:uid="{00000000-0005-0000-0000-0000F6020000}"/>
    <cellStyle name="20% - Accent5 3 6 3 2" xfId="14626" xr:uid="{D9D096BF-3FB1-4C9D-8C34-5025D6E2984C}"/>
    <cellStyle name="20% - Accent5 3 6 3 3" xfId="23054" xr:uid="{E2BDA4F3-B169-4B99-B412-C05E933C3C88}"/>
    <cellStyle name="20% - Accent5 3 6 4" xfId="10408" xr:uid="{647CA396-11B2-40F6-A3A4-17EE367B6BEA}"/>
    <cellStyle name="20% - Accent5 3 6 5" xfId="18837" xr:uid="{C221EAF8-6ACC-4FC2-9D2E-CF182BFEA384}"/>
    <cellStyle name="20% - Accent5 3 7" xfId="2302" xr:uid="{00000000-0005-0000-0000-0000F7020000}"/>
    <cellStyle name="20% - Accent5 3 7 2" xfId="6610" xr:uid="{00000000-0005-0000-0000-0000F8020000}"/>
    <cellStyle name="20% - Accent5 3 7 2 2" xfId="15039" xr:uid="{61192A8F-7845-4056-A1AF-DF85372CD5A7}"/>
    <cellStyle name="20% - Accent5 3 7 2 3" xfId="23467" xr:uid="{DD1223D3-F38A-452F-B037-E87B48A6F4F0}"/>
    <cellStyle name="20% - Accent5 3 7 3" xfId="10821" xr:uid="{D8307ACE-A970-4B4A-A583-C640B8D67DD8}"/>
    <cellStyle name="20% - Accent5 3 7 4" xfId="19250" xr:uid="{9D124AC4-40D9-414C-B70A-509F6B8BB97C}"/>
    <cellStyle name="20% - Accent5 3 8" xfId="4544" xr:uid="{00000000-0005-0000-0000-0000F9020000}"/>
    <cellStyle name="20% - Accent5 3 8 2" xfId="12973" xr:uid="{3826AD8A-790E-4A26-A5FB-23E4039CD32A}"/>
    <cellStyle name="20% - Accent5 3 8 3" xfId="21401" xr:uid="{3DF82FA5-0C2F-479A-8E3F-E6573DC68F1F}"/>
    <cellStyle name="20% - Accent5 3 9" xfId="8755" xr:uid="{D31E96F9-8BFE-49D4-8D05-0D71D1CF03C8}"/>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34" xr:uid="{DD71A459-8429-410E-AB76-F61A57AB8A1C}"/>
    <cellStyle name="20% - Accent5 4 2 2 2 3" xfId="23962" xr:uid="{0D24A723-7C26-4882-8A94-EFDA65FC9410}"/>
    <cellStyle name="20% - Accent5 4 2 2 3" xfId="11316" xr:uid="{3BEA5174-36B5-452D-9261-8936A5ABF8B4}"/>
    <cellStyle name="20% - Accent5 4 2 2 4" xfId="19745" xr:uid="{A792A407-C261-4D02-9F71-EF554AB5021F}"/>
    <cellStyle name="20% - Accent5 4 2 3" xfId="4960" xr:uid="{00000000-0005-0000-0000-0000FE020000}"/>
    <cellStyle name="20% - Accent5 4 2 3 2" xfId="13389" xr:uid="{D76A7E6C-2682-464C-9A0A-EE7C99B34314}"/>
    <cellStyle name="20% - Accent5 4 2 3 3" xfId="21817" xr:uid="{BE75858B-DD5C-4DDD-8773-EF379FC2AA7F}"/>
    <cellStyle name="20% - Accent5 4 2 4" xfId="9171" xr:uid="{CA27C329-131E-48B0-8CE8-60C33D2F94BE}"/>
    <cellStyle name="20% - Accent5 4 2 5" xfId="17600" xr:uid="{B5A7F50F-F817-444F-9B81-E5AC89553A37}"/>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7" xr:uid="{0AAAC309-FEB5-4BA8-834A-599F8CF4FACD}"/>
    <cellStyle name="20% - Accent5 4 3 2 2 3" xfId="24375" xr:uid="{009C9156-D572-4C49-AF47-4013191DF9C1}"/>
    <cellStyle name="20% - Accent5 4 3 2 3" xfId="11729" xr:uid="{B13F2EDC-27D1-404B-8C76-67930F9CF00F}"/>
    <cellStyle name="20% - Accent5 4 3 2 4" xfId="20158" xr:uid="{5B01CC54-2292-4165-8AD9-DA0CE8F2BFB9}"/>
    <cellStyle name="20% - Accent5 4 3 3" xfId="5373" xr:uid="{00000000-0005-0000-0000-000002030000}"/>
    <cellStyle name="20% - Accent5 4 3 3 2" xfId="13802" xr:uid="{73774E09-0EA7-44B0-88CB-83B91F21972D}"/>
    <cellStyle name="20% - Accent5 4 3 3 3" xfId="22230" xr:uid="{603009E7-3947-468E-8FDD-E3D439D1A27B}"/>
    <cellStyle name="20% - Accent5 4 3 4" xfId="9584" xr:uid="{FCAFB45E-0143-45D2-9C6D-A943517A20F0}"/>
    <cellStyle name="20% - Accent5 4 3 5" xfId="18013" xr:uid="{1B729926-5691-4CFD-9D78-321E7000C0B6}"/>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60" xr:uid="{A4603C57-5BFD-4856-A59B-EDB5AB76A346}"/>
    <cellStyle name="20% - Accent5 4 4 2 2 3" xfId="24788" xr:uid="{8851C81F-85BD-420D-B344-0189FE9EEF73}"/>
    <cellStyle name="20% - Accent5 4 4 2 3" xfId="12142" xr:uid="{C622C130-DB88-48AB-9E5C-521B3BB4B450}"/>
    <cellStyle name="20% - Accent5 4 4 2 4" xfId="20571" xr:uid="{4E498186-0A9B-49D4-BDF8-23E323342EF3}"/>
    <cellStyle name="20% - Accent5 4 4 3" xfId="5786" xr:uid="{00000000-0005-0000-0000-000006030000}"/>
    <cellStyle name="20% - Accent5 4 4 3 2" xfId="14215" xr:uid="{B882C369-FD89-470C-8CBF-27AEDE41E3F7}"/>
    <cellStyle name="20% - Accent5 4 4 3 3" xfId="22643" xr:uid="{A0B5A6D2-294C-432B-BC51-B5E848F2B547}"/>
    <cellStyle name="20% - Accent5 4 4 4" xfId="9997" xr:uid="{BE5BC51B-BB99-4A11-A087-73FE737C91CA}"/>
    <cellStyle name="20% - Accent5 4 4 5" xfId="18426" xr:uid="{E8625011-CF24-473E-81D8-3D84756154A3}"/>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73" xr:uid="{9BFBF7A0-6355-4CA1-8581-6338B3C23AEC}"/>
    <cellStyle name="20% - Accent5 4 5 2 2 3" xfId="25201" xr:uid="{0C88C92A-F72F-4C73-B1F7-D41C817842BE}"/>
    <cellStyle name="20% - Accent5 4 5 2 3" xfId="12555" xr:uid="{BFECC76C-F334-4DA6-969D-ECF7F9B9B6D1}"/>
    <cellStyle name="20% - Accent5 4 5 2 4" xfId="20984" xr:uid="{9B5E5828-25EA-4E67-A467-055D252136EE}"/>
    <cellStyle name="20% - Accent5 4 5 3" xfId="6199" xr:uid="{00000000-0005-0000-0000-00000A030000}"/>
    <cellStyle name="20% - Accent5 4 5 3 2" xfId="14628" xr:uid="{F0C6E5CE-DD3D-486C-AFBC-63B3818C316D}"/>
    <cellStyle name="20% - Accent5 4 5 3 3" xfId="23056" xr:uid="{0CE538BA-F433-4C0E-A4E0-8D899332EB39}"/>
    <cellStyle name="20% - Accent5 4 5 4" xfId="10410" xr:uid="{66ECB1BB-D597-41F6-9DD7-AAD4C9F7AAA6}"/>
    <cellStyle name="20% - Accent5 4 5 5" xfId="18839" xr:uid="{3DB0A644-D3FD-4071-8BE2-E2B65B7BA4E9}"/>
    <cellStyle name="20% - Accent5 4 6" xfId="2304" xr:uid="{00000000-0005-0000-0000-00000B030000}"/>
    <cellStyle name="20% - Accent5 4 6 2" xfId="6612" xr:uid="{00000000-0005-0000-0000-00000C030000}"/>
    <cellStyle name="20% - Accent5 4 6 2 2" xfId="15041" xr:uid="{3E5257F0-FA84-4C0F-84E6-06DD82B1A792}"/>
    <cellStyle name="20% - Accent5 4 6 2 3" xfId="23469" xr:uid="{99010F53-C097-4E43-BE12-F3B228477F55}"/>
    <cellStyle name="20% - Accent5 4 6 3" xfId="10823" xr:uid="{BD1DB019-989F-482E-B8B4-90B9837AC31A}"/>
    <cellStyle name="20% - Accent5 4 6 4" xfId="19252" xr:uid="{362A80B3-7735-4ADC-B0F1-52B89797FDF4}"/>
    <cellStyle name="20% - Accent5 4 7" xfId="4546" xr:uid="{00000000-0005-0000-0000-00000D030000}"/>
    <cellStyle name="20% - Accent5 4 7 2" xfId="12975" xr:uid="{3A196E3B-450C-45C7-8E8B-CCFEE92B66FF}"/>
    <cellStyle name="20% - Accent5 4 7 3" xfId="21403" xr:uid="{05AA0D37-346F-4CFE-B141-074F1BAD6F43}"/>
    <cellStyle name="20% - Accent5 4 8" xfId="8757" xr:uid="{C5F6923B-4C72-454C-AB1B-9FB3E8CC06E2}"/>
    <cellStyle name="20% - Accent5 4 9" xfId="17186" xr:uid="{55E6F3B1-FE25-4B98-B934-6D2D7C767036}"/>
    <cellStyle name="20% - Accent5 5" xfId="603" xr:uid="{00000000-0005-0000-0000-00000E030000}"/>
    <cellStyle name="20% - Accent5 5 2" xfId="2874" xr:uid="{00000000-0005-0000-0000-00000F030000}"/>
    <cellStyle name="20% - Accent5 5 2 2" xfId="7098" xr:uid="{00000000-0005-0000-0000-000010030000}"/>
    <cellStyle name="20% - Accent5 5 2 2 2" xfId="15527" xr:uid="{5EDF19B5-93FB-4A41-AACD-4434478A00F0}"/>
    <cellStyle name="20% - Accent5 5 2 2 3" xfId="23955" xr:uid="{34162B35-26F9-4B42-9F16-B207353FDA69}"/>
    <cellStyle name="20% - Accent5 5 2 3" xfId="11309" xr:uid="{2E14DC98-A591-42AA-9767-8696A0DF7AA8}"/>
    <cellStyle name="20% - Accent5 5 2 4" xfId="19738" xr:uid="{7E0D98D9-4026-4B92-B374-61359132FB23}"/>
    <cellStyle name="20% - Accent5 5 3" xfId="4953" xr:uid="{00000000-0005-0000-0000-000011030000}"/>
    <cellStyle name="20% - Accent5 5 3 2" xfId="13382" xr:uid="{13057DDD-035D-497A-AEFF-713A187D6723}"/>
    <cellStyle name="20% - Accent5 5 3 3" xfId="21810" xr:uid="{D5A2109C-5356-4CD9-B115-1B3198A20751}"/>
    <cellStyle name="20% - Accent5 5 4" xfId="9164" xr:uid="{5D153FB9-69CC-4C78-80A0-EF246BCE81E5}"/>
    <cellStyle name="20% - Accent5 5 5" xfId="17593" xr:uid="{1D8661D9-FFCC-456C-9C1C-985614CC18EB}"/>
    <cellStyle name="20% - Accent5 6" xfId="1056" xr:uid="{00000000-0005-0000-0000-000012030000}"/>
    <cellStyle name="20% - Accent5 6 2" xfId="3287" xr:uid="{00000000-0005-0000-0000-000013030000}"/>
    <cellStyle name="20% - Accent5 6 2 2" xfId="7511" xr:uid="{00000000-0005-0000-0000-000014030000}"/>
    <cellStyle name="20% - Accent5 6 2 2 2" xfId="15940" xr:uid="{B8AB7F69-9DE8-4224-A31B-C92EF3BC01E3}"/>
    <cellStyle name="20% - Accent5 6 2 2 3" xfId="24368" xr:uid="{5988547D-993E-46C7-A87E-558BC7CC9753}"/>
    <cellStyle name="20% - Accent5 6 2 3" xfId="11722" xr:uid="{EF74C8E0-752E-4F7D-9877-3F006B4886B8}"/>
    <cellStyle name="20% - Accent5 6 2 4" xfId="20151" xr:uid="{BE91CE3E-0545-4FFE-9A24-D1EE6D5CC392}"/>
    <cellStyle name="20% - Accent5 6 3" xfId="5366" xr:uid="{00000000-0005-0000-0000-000015030000}"/>
    <cellStyle name="20% - Accent5 6 3 2" xfId="13795" xr:uid="{D76160BD-334B-4396-9BE9-87FE40E1E54C}"/>
    <cellStyle name="20% - Accent5 6 3 3" xfId="22223" xr:uid="{CC777FAC-9AC0-4FBC-B811-F67D95DA7940}"/>
    <cellStyle name="20% - Accent5 6 4" xfId="9577" xr:uid="{FE3D95C1-0E3C-4579-B0F7-630175808DF2}"/>
    <cellStyle name="20% - Accent5 6 5" xfId="18006" xr:uid="{DECA3310-D79A-474B-AE27-691D1DA74135}"/>
    <cellStyle name="20% - Accent5 7" xfId="1470" xr:uid="{00000000-0005-0000-0000-000016030000}"/>
    <cellStyle name="20% - Accent5 7 2" xfId="3700" xr:uid="{00000000-0005-0000-0000-000017030000}"/>
    <cellStyle name="20% - Accent5 7 2 2" xfId="7924" xr:uid="{00000000-0005-0000-0000-000018030000}"/>
    <cellStyle name="20% - Accent5 7 2 2 2" xfId="16353" xr:uid="{3BECFD62-72E3-424B-8FAD-26754480E03E}"/>
    <cellStyle name="20% - Accent5 7 2 2 3" xfId="24781" xr:uid="{EF42671D-62A9-4365-A7E1-F2A53D855E2A}"/>
    <cellStyle name="20% - Accent5 7 2 3" xfId="12135" xr:uid="{9EBB9916-739F-488B-838D-4074780A1F35}"/>
    <cellStyle name="20% - Accent5 7 2 4" xfId="20564" xr:uid="{38A0A475-CD0E-4DFF-A894-ACA94465C931}"/>
    <cellStyle name="20% - Accent5 7 3" xfId="5779" xr:uid="{00000000-0005-0000-0000-000019030000}"/>
    <cellStyle name="20% - Accent5 7 3 2" xfId="14208" xr:uid="{4D58D11A-BBCF-4E60-BBFA-FAE269CFDF6C}"/>
    <cellStyle name="20% - Accent5 7 3 3" xfId="22636" xr:uid="{CA7D6F9D-170C-4EC5-9FAE-475507B6EBA9}"/>
    <cellStyle name="20% - Accent5 7 4" xfId="9990" xr:uid="{96FE4C48-B91A-4283-8091-4D3AAFE5C2B2}"/>
    <cellStyle name="20% - Accent5 7 5" xfId="18419" xr:uid="{49221FBC-C279-4531-B156-E05B51E1AAD3}"/>
    <cellStyle name="20% - Accent5 8" xfId="1884" xr:uid="{00000000-0005-0000-0000-00001A030000}"/>
    <cellStyle name="20% - Accent5 8 2" xfId="4113" xr:uid="{00000000-0005-0000-0000-00001B030000}"/>
    <cellStyle name="20% - Accent5 8 2 2" xfId="8337" xr:uid="{00000000-0005-0000-0000-00001C030000}"/>
    <cellStyle name="20% - Accent5 8 2 2 2" xfId="16766" xr:uid="{422BA8B5-8C35-4950-87BB-ED444ED7380B}"/>
    <cellStyle name="20% - Accent5 8 2 2 3" xfId="25194" xr:uid="{F9D47F67-74D2-4283-AF90-01270344246A}"/>
    <cellStyle name="20% - Accent5 8 2 3" xfId="12548" xr:uid="{D7A49D64-FF6C-4C6F-BB9B-BA78C6118C6F}"/>
    <cellStyle name="20% - Accent5 8 2 4" xfId="20977" xr:uid="{41C10F45-6B54-4843-A358-98772EAD3B01}"/>
    <cellStyle name="20% - Accent5 8 3" xfId="6192" xr:uid="{00000000-0005-0000-0000-00001D030000}"/>
    <cellStyle name="20% - Accent5 8 3 2" xfId="14621" xr:uid="{9D1CF5E1-C10D-445F-A7DE-EB4307BDF9A4}"/>
    <cellStyle name="20% - Accent5 8 3 3" xfId="23049" xr:uid="{258060CC-083F-40A5-A16A-090BF41F373A}"/>
    <cellStyle name="20% - Accent5 8 4" xfId="10403" xr:uid="{DEA6C41B-BC32-471D-92B6-0BBE4AD3CA7E}"/>
    <cellStyle name="20% - Accent5 8 5" xfId="18832" xr:uid="{CE777D3A-F94C-4D97-953C-DEA87256CA05}"/>
    <cellStyle name="20% - Accent5 9" xfId="2297" xr:uid="{00000000-0005-0000-0000-00001E030000}"/>
    <cellStyle name="20% - Accent5 9 2" xfId="6605" xr:uid="{00000000-0005-0000-0000-00001F030000}"/>
    <cellStyle name="20% - Accent5 9 2 2" xfId="15034" xr:uid="{E7A100D0-CADD-478F-8D7B-81BB282F3B65}"/>
    <cellStyle name="20% - Accent5 9 2 3" xfId="23462" xr:uid="{089E98FB-C9B9-4C82-AEB7-7741AD9212C4}"/>
    <cellStyle name="20% - Accent5 9 3" xfId="10816" xr:uid="{136DFCE5-2BDF-4A9B-BB25-E677BA5C3F8F}"/>
    <cellStyle name="20% - Accent5 9 4" xfId="19245" xr:uid="{C0EA7941-5D12-40FC-8EAC-E1A53AEBC5A8}"/>
    <cellStyle name="20% - Accent6" xfId="41" builtinId="50" customBuiltin="1"/>
    <cellStyle name="20% - Accent6 10" xfId="4547" xr:uid="{00000000-0005-0000-0000-000021030000}"/>
    <cellStyle name="20% - Accent6 10 2" xfId="12976" xr:uid="{DDD6BA56-559F-46A8-895C-A964DE03CB77}"/>
    <cellStyle name="20% - Accent6 10 3" xfId="21404" xr:uid="{D69DFA80-84B0-4DFA-9F3B-9E8F13B5FDD2}"/>
    <cellStyle name="20% - Accent6 11" xfId="8758" xr:uid="{0137A57D-E87E-487C-B4C6-7CDA0B3B1FBE}"/>
    <cellStyle name="20% - Accent6 12" xfId="17187" xr:uid="{6348D607-8359-4EB0-92C3-A72339057FE0}"/>
    <cellStyle name="20% - Accent6 2" xfId="42" xr:uid="{00000000-0005-0000-0000-000022030000}"/>
    <cellStyle name="20% - Accent6 2 10" xfId="8759" xr:uid="{2AC0986C-44A3-468A-8214-BB9EAFBB303F}"/>
    <cellStyle name="20% - Accent6 2 11" xfId="17188" xr:uid="{A66DCA8A-0E82-4409-A5A2-2A32747877A4}"/>
    <cellStyle name="20% - Accent6 2 2" xfId="43" xr:uid="{00000000-0005-0000-0000-000023030000}"/>
    <cellStyle name="20% - Accent6 2 2 10" xfId="17189" xr:uid="{B6E6978F-8880-4165-BCB5-0BBCB8342503}"/>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8" xr:uid="{6A6AD3F2-AAFF-4DCE-8965-B15BFDA2EE7F}"/>
    <cellStyle name="20% - Accent6 2 2 2 2 2 2 3" xfId="23966" xr:uid="{1BAFD2FA-B4BD-44AA-8F7D-93B907B922E0}"/>
    <cellStyle name="20% - Accent6 2 2 2 2 2 3" xfId="11320" xr:uid="{5C8BC1F2-5F24-4F75-8578-A03B879F9017}"/>
    <cellStyle name="20% - Accent6 2 2 2 2 2 4" xfId="19749" xr:uid="{F0E7A658-EE1D-4056-B7CB-7C5129CE4B64}"/>
    <cellStyle name="20% - Accent6 2 2 2 2 3" xfId="4964" xr:uid="{00000000-0005-0000-0000-000028030000}"/>
    <cellStyle name="20% - Accent6 2 2 2 2 3 2" xfId="13393" xr:uid="{8333B5C2-3537-45C9-8CDF-7F2D56F70CD7}"/>
    <cellStyle name="20% - Accent6 2 2 2 2 3 3" xfId="21821" xr:uid="{BCAC30F5-FFD9-4A26-A2F8-258B7AA2D72B}"/>
    <cellStyle name="20% - Accent6 2 2 2 2 4" xfId="9175" xr:uid="{ADD3BDFC-CA81-4D54-B356-152A19403B84}"/>
    <cellStyle name="20% - Accent6 2 2 2 2 5" xfId="17604" xr:uid="{BACF7F56-BF0A-4E93-AA39-BE6630B10DE2}"/>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51" xr:uid="{B401622B-FF6C-4E63-9DD8-F8ADC681CA7B}"/>
    <cellStyle name="20% - Accent6 2 2 2 3 2 2 3" xfId="24379" xr:uid="{A3CBE08A-1743-419F-8649-8843E1154C11}"/>
    <cellStyle name="20% - Accent6 2 2 2 3 2 3" xfId="11733" xr:uid="{499B1F51-0185-4B25-A11D-679FB55D7998}"/>
    <cellStyle name="20% - Accent6 2 2 2 3 2 4" xfId="20162" xr:uid="{9812E9DE-4986-498C-B09C-EFE8EBA1F7A0}"/>
    <cellStyle name="20% - Accent6 2 2 2 3 3" xfId="5377" xr:uid="{00000000-0005-0000-0000-00002C030000}"/>
    <cellStyle name="20% - Accent6 2 2 2 3 3 2" xfId="13806" xr:uid="{FDDD1F10-1BE1-4F7B-AEAC-7CE5D1DA7471}"/>
    <cellStyle name="20% - Accent6 2 2 2 3 3 3" xfId="22234" xr:uid="{8031AA95-B9EB-4D71-8992-5B26B94828D2}"/>
    <cellStyle name="20% - Accent6 2 2 2 3 4" xfId="9588" xr:uid="{88DE5AC0-1CCE-405F-819B-C26C376654C5}"/>
    <cellStyle name="20% - Accent6 2 2 2 3 5" xfId="18017" xr:uid="{810E9133-6F95-480F-84D4-6A29E239B877}"/>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64" xr:uid="{EBC2BDD4-7F76-4763-8BC0-04F2C9B10BB1}"/>
    <cellStyle name="20% - Accent6 2 2 2 4 2 2 3" xfId="24792" xr:uid="{C1459EBF-C1FD-47C6-9CA8-247697C06891}"/>
    <cellStyle name="20% - Accent6 2 2 2 4 2 3" xfId="12146" xr:uid="{C6BD8CE8-E989-4552-98FE-449CC2639F66}"/>
    <cellStyle name="20% - Accent6 2 2 2 4 2 4" xfId="20575" xr:uid="{384A4B95-EAC0-4373-BC99-863EE711D156}"/>
    <cellStyle name="20% - Accent6 2 2 2 4 3" xfId="5790" xr:uid="{00000000-0005-0000-0000-000030030000}"/>
    <cellStyle name="20% - Accent6 2 2 2 4 3 2" xfId="14219" xr:uid="{6B071EDB-566F-4F5A-8DA7-1FA4C493EFD8}"/>
    <cellStyle name="20% - Accent6 2 2 2 4 3 3" xfId="22647" xr:uid="{0EB3829A-AF2A-4013-B22C-E17C9D4E7979}"/>
    <cellStyle name="20% - Accent6 2 2 2 4 4" xfId="10001" xr:uid="{A967550E-86B1-4B65-AE20-1DBEF322F58D}"/>
    <cellStyle name="20% - Accent6 2 2 2 4 5" xfId="18430" xr:uid="{FF520614-FD63-4CC5-8594-2A0D0EC0CBD4}"/>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7" xr:uid="{C0EF62AE-A357-4079-8783-E4347CF6ED7D}"/>
    <cellStyle name="20% - Accent6 2 2 2 5 2 2 3" xfId="25205" xr:uid="{01D5984C-CEC9-4B1B-B34C-59552F224624}"/>
    <cellStyle name="20% - Accent6 2 2 2 5 2 3" xfId="12559" xr:uid="{822E555F-28C1-418D-A6B6-A79252867723}"/>
    <cellStyle name="20% - Accent6 2 2 2 5 2 4" xfId="20988" xr:uid="{06C99B41-00B1-42EF-9A5F-4B0EE49C6A8F}"/>
    <cellStyle name="20% - Accent6 2 2 2 5 3" xfId="6203" xr:uid="{00000000-0005-0000-0000-000034030000}"/>
    <cellStyle name="20% - Accent6 2 2 2 5 3 2" xfId="14632" xr:uid="{29AFB543-7356-4F10-A164-05AE93CBAF90}"/>
    <cellStyle name="20% - Accent6 2 2 2 5 3 3" xfId="23060" xr:uid="{FFE99D82-FE3A-4918-A4C8-2E2F9298A1EB}"/>
    <cellStyle name="20% - Accent6 2 2 2 5 4" xfId="10414" xr:uid="{95B2C4B3-998A-45BB-B4BE-0EA49811F891}"/>
    <cellStyle name="20% - Accent6 2 2 2 5 5" xfId="18843" xr:uid="{CEEB0D0E-D656-4A41-A1BE-FAEA20EC86F6}"/>
    <cellStyle name="20% - Accent6 2 2 2 6" xfId="2308" xr:uid="{00000000-0005-0000-0000-000035030000}"/>
    <cellStyle name="20% - Accent6 2 2 2 6 2" xfId="6616" xr:uid="{00000000-0005-0000-0000-000036030000}"/>
    <cellStyle name="20% - Accent6 2 2 2 6 2 2" xfId="15045" xr:uid="{EE245087-44DA-48A2-81D7-F336F426DFE7}"/>
    <cellStyle name="20% - Accent6 2 2 2 6 2 3" xfId="23473" xr:uid="{0DF43678-F2C1-48DA-B093-77B087597899}"/>
    <cellStyle name="20% - Accent6 2 2 2 6 3" xfId="10827" xr:uid="{AF3C7B06-594E-4009-85CB-E4B557C3A0FE}"/>
    <cellStyle name="20% - Accent6 2 2 2 6 4" xfId="19256" xr:uid="{94179B9F-2D88-4487-96F2-ADDD89944D9F}"/>
    <cellStyle name="20% - Accent6 2 2 2 7" xfId="4550" xr:uid="{00000000-0005-0000-0000-000037030000}"/>
    <cellStyle name="20% - Accent6 2 2 2 7 2" xfId="12979" xr:uid="{6C6EFCA6-F368-402B-B1E4-9C2044F15CEB}"/>
    <cellStyle name="20% - Accent6 2 2 2 7 3" xfId="21407" xr:uid="{AC4A14BD-E541-4D12-B8A7-FB5A8C24D85D}"/>
    <cellStyle name="20% - Accent6 2 2 2 8" xfId="8761" xr:uid="{BF8D2F59-9E23-4042-8B91-ACCCF25115D1}"/>
    <cellStyle name="20% - Accent6 2 2 2 9" xfId="17190" xr:uid="{963583BE-C8C1-4E1A-BE28-BAA19D47A35F}"/>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7" xr:uid="{513ED8AD-A21F-4C8A-866A-86250134428F}"/>
    <cellStyle name="20% - Accent6 2 2 3 2 2 3" xfId="23965" xr:uid="{40A60133-3EFD-4A2D-81D5-37C39AC88662}"/>
    <cellStyle name="20% - Accent6 2 2 3 2 3" xfId="11319" xr:uid="{59B31560-66B7-4CCE-A95F-C26C9651BFEE}"/>
    <cellStyle name="20% - Accent6 2 2 3 2 4" xfId="19748" xr:uid="{9353EF7F-2341-4F89-9992-28DED7786ED8}"/>
    <cellStyle name="20% - Accent6 2 2 3 3" xfId="4963" xr:uid="{00000000-0005-0000-0000-00003B030000}"/>
    <cellStyle name="20% - Accent6 2 2 3 3 2" xfId="13392" xr:uid="{486BC3C4-F1DD-4FFC-A6A5-0EF287976741}"/>
    <cellStyle name="20% - Accent6 2 2 3 3 3" xfId="21820" xr:uid="{C0C78EA0-9377-4C15-A9A1-B07C094A3E75}"/>
    <cellStyle name="20% - Accent6 2 2 3 4" xfId="9174" xr:uid="{409E462D-7843-4AF6-8B34-E02F44DEA190}"/>
    <cellStyle name="20% - Accent6 2 2 3 5" xfId="17603" xr:uid="{0ED78875-4AD2-453C-994B-CFC6EF8114C7}"/>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50" xr:uid="{B4014BB2-56C8-45CA-BB00-8498DCB149FA}"/>
    <cellStyle name="20% - Accent6 2 2 4 2 2 3" xfId="24378" xr:uid="{1C2A4700-54C1-4D7F-B413-61B06F2C5B05}"/>
    <cellStyle name="20% - Accent6 2 2 4 2 3" xfId="11732" xr:uid="{62D0035B-966E-400F-A31A-7AE703D511D1}"/>
    <cellStyle name="20% - Accent6 2 2 4 2 4" xfId="20161" xr:uid="{6F420DFD-EDEF-441D-81A0-FAA50019DAB1}"/>
    <cellStyle name="20% - Accent6 2 2 4 3" xfId="5376" xr:uid="{00000000-0005-0000-0000-00003F030000}"/>
    <cellStyle name="20% - Accent6 2 2 4 3 2" xfId="13805" xr:uid="{338F5101-64A7-4724-8C73-D3708151DD98}"/>
    <cellStyle name="20% - Accent6 2 2 4 3 3" xfId="22233" xr:uid="{F6B17B65-676B-4ECB-A725-D3ACDA03D083}"/>
    <cellStyle name="20% - Accent6 2 2 4 4" xfId="9587" xr:uid="{7D4DC178-A828-4F88-9E87-248A10BE6887}"/>
    <cellStyle name="20% - Accent6 2 2 4 5" xfId="18016" xr:uid="{5CA781E5-2CAF-4571-AC21-1C606BD39C04}"/>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63" xr:uid="{D1F4F443-0743-4AD6-B793-3DF05810647A}"/>
    <cellStyle name="20% - Accent6 2 2 5 2 2 3" xfId="24791" xr:uid="{E86B1C4E-5766-4AF3-8EE5-D1C1151CC4B8}"/>
    <cellStyle name="20% - Accent6 2 2 5 2 3" xfId="12145" xr:uid="{ACC79503-3738-4575-B6C4-56CF4C7D70C3}"/>
    <cellStyle name="20% - Accent6 2 2 5 2 4" xfId="20574" xr:uid="{18EFA0EA-CBDA-4996-858B-8810EBFA3B30}"/>
    <cellStyle name="20% - Accent6 2 2 5 3" xfId="5789" xr:uid="{00000000-0005-0000-0000-000043030000}"/>
    <cellStyle name="20% - Accent6 2 2 5 3 2" xfId="14218" xr:uid="{6DF2B1DD-232D-460C-8EDC-5014F532806F}"/>
    <cellStyle name="20% - Accent6 2 2 5 3 3" xfId="22646" xr:uid="{5EC9995B-0A05-4945-B811-7E0A98A12E1F}"/>
    <cellStyle name="20% - Accent6 2 2 5 4" xfId="10000" xr:uid="{048A5FF4-94EF-4E01-82D5-D1D7820C086F}"/>
    <cellStyle name="20% - Accent6 2 2 5 5" xfId="18429" xr:uid="{BCC3C057-F0E3-4C3B-99F5-D7FE78F85149}"/>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76" xr:uid="{09B4BB83-85D8-441E-9F1A-91126513D0C9}"/>
    <cellStyle name="20% - Accent6 2 2 6 2 2 3" xfId="25204" xr:uid="{D15BD40D-A575-44A6-9C6C-B21D14D39D1E}"/>
    <cellStyle name="20% - Accent6 2 2 6 2 3" xfId="12558" xr:uid="{8CAF53EE-5F57-4434-9B11-1347EBA96015}"/>
    <cellStyle name="20% - Accent6 2 2 6 2 4" xfId="20987" xr:uid="{589C324A-56AE-4ECB-8D14-BE245F4EBD73}"/>
    <cellStyle name="20% - Accent6 2 2 6 3" xfId="6202" xr:uid="{00000000-0005-0000-0000-000047030000}"/>
    <cellStyle name="20% - Accent6 2 2 6 3 2" xfId="14631" xr:uid="{B3AB70BF-C257-4011-9880-B2EB69FB1878}"/>
    <cellStyle name="20% - Accent6 2 2 6 3 3" xfId="23059" xr:uid="{5051F3CF-A395-436A-9E56-E915E248FD98}"/>
    <cellStyle name="20% - Accent6 2 2 6 4" xfId="10413" xr:uid="{05AB0B1C-9B6F-408D-BA41-69CD481F8FF7}"/>
    <cellStyle name="20% - Accent6 2 2 6 5" xfId="18842" xr:uid="{B85D3D0F-3F94-4769-B592-ACD0EB8D0F19}"/>
    <cellStyle name="20% - Accent6 2 2 7" xfId="2307" xr:uid="{00000000-0005-0000-0000-000048030000}"/>
    <cellStyle name="20% - Accent6 2 2 7 2" xfId="6615" xr:uid="{00000000-0005-0000-0000-000049030000}"/>
    <cellStyle name="20% - Accent6 2 2 7 2 2" xfId="15044" xr:uid="{B93D6166-7179-444B-B9B9-02AC152EAD26}"/>
    <cellStyle name="20% - Accent6 2 2 7 2 3" xfId="23472" xr:uid="{5CFEE8B8-149D-4C52-AB06-9F1B86E3F7B2}"/>
    <cellStyle name="20% - Accent6 2 2 7 3" xfId="10826" xr:uid="{489CF65A-E4B8-40BE-8E3A-2B0FD84CC8E2}"/>
    <cellStyle name="20% - Accent6 2 2 7 4" xfId="19255" xr:uid="{DC4BD25C-0668-4DB1-AE43-32D9FF58B191}"/>
    <cellStyle name="20% - Accent6 2 2 8" xfId="4549" xr:uid="{00000000-0005-0000-0000-00004A030000}"/>
    <cellStyle name="20% - Accent6 2 2 8 2" xfId="12978" xr:uid="{B1F9D9C3-8CE5-47E0-9107-67D564FA4B0E}"/>
    <cellStyle name="20% - Accent6 2 2 8 3" xfId="21406" xr:uid="{FED63977-D021-42F3-BFC8-855E7C8AC15A}"/>
    <cellStyle name="20% - Accent6 2 2 9" xfId="8760" xr:uid="{88F638AC-61A7-4CB5-9E5C-80DBB1D33D43}"/>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9" xr:uid="{2C82F53A-FC8A-43DC-99A1-029F51F0BF87}"/>
    <cellStyle name="20% - Accent6 2 3 2 2 2 3" xfId="23967" xr:uid="{594089A2-2621-4D9B-A5B0-1275FA8A7876}"/>
    <cellStyle name="20% - Accent6 2 3 2 2 3" xfId="11321" xr:uid="{D7C5BE60-8112-44A4-9B84-7C618FBE434C}"/>
    <cellStyle name="20% - Accent6 2 3 2 2 4" xfId="19750" xr:uid="{7DE852BC-9673-40AA-B654-28F6C69EC260}"/>
    <cellStyle name="20% - Accent6 2 3 2 3" xfId="4965" xr:uid="{00000000-0005-0000-0000-00004F030000}"/>
    <cellStyle name="20% - Accent6 2 3 2 3 2" xfId="13394" xr:uid="{A3CC34CF-99A4-4C09-A0C7-232BC6EAD9DA}"/>
    <cellStyle name="20% - Accent6 2 3 2 3 3" xfId="21822" xr:uid="{3A89C130-8657-4F2C-9C4A-B2D98D30F106}"/>
    <cellStyle name="20% - Accent6 2 3 2 4" xfId="9176" xr:uid="{2B22FC0B-8387-4252-ADBA-0CF9798CE796}"/>
    <cellStyle name="20% - Accent6 2 3 2 5" xfId="17605" xr:uid="{E613CE7F-8F70-47FC-8F11-F0307DEED285}"/>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52" xr:uid="{FECE305D-A708-4484-B304-49D7B4B7BC68}"/>
    <cellStyle name="20% - Accent6 2 3 3 2 2 3" xfId="24380" xr:uid="{A7E6C9D2-D722-4C1B-A37B-A8DC26EAA288}"/>
    <cellStyle name="20% - Accent6 2 3 3 2 3" xfId="11734" xr:uid="{DE1BD8D9-FCA0-4C38-A3D4-DAAFEEA2AD5D}"/>
    <cellStyle name="20% - Accent6 2 3 3 2 4" xfId="20163" xr:uid="{FB3A32AF-1630-4522-884E-B81874F76A2E}"/>
    <cellStyle name="20% - Accent6 2 3 3 3" xfId="5378" xr:uid="{00000000-0005-0000-0000-000053030000}"/>
    <cellStyle name="20% - Accent6 2 3 3 3 2" xfId="13807" xr:uid="{BC23FFDC-D677-4F89-98D4-C86489A387D0}"/>
    <cellStyle name="20% - Accent6 2 3 3 3 3" xfId="22235" xr:uid="{65117D96-1704-4E56-BE6E-C3A9C0CE9215}"/>
    <cellStyle name="20% - Accent6 2 3 3 4" xfId="9589" xr:uid="{E7D096C2-7CFC-4C89-8883-4CA56287FA09}"/>
    <cellStyle name="20% - Accent6 2 3 3 5" xfId="18018" xr:uid="{553B4A0E-0562-4707-B8F8-4E69031190E2}"/>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65" xr:uid="{AED6FCCF-BF86-46DC-BB2C-CDC15691A07B}"/>
    <cellStyle name="20% - Accent6 2 3 4 2 2 3" xfId="24793" xr:uid="{1B995B91-B741-47DB-A5FB-249FC957FD8B}"/>
    <cellStyle name="20% - Accent6 2 3 4 2 3" xfId="12147" xr:uid="{9396D935-099F-4427-B6EE-4FC4C4B7FEB4}"/>
    <cellStyle name="20% - Accent6 2 3 4 2 4" xfId="20576" xr:uid="{CCB240D4-DA15-4BED-9BF8-73BD3325C408}"/>
    <cellStyle name="20% - Accent6 2 3 4 3" xfId="5791" xr:uid="{00000000-0005-0000-0000-000057030000}"/>
    <cellStyle name="20% - Accent6 2 3 4 3 2" xfId="14220" xr:uid="{54B722D6-0CCC-4DE5-8EB8-0C648DB2A1EF}"/>
    <cellStyle name="20% - Accent6 2 3 4 3 3" xfId="22648" xr:uid="{BE4B924C-4D02-4FEA-8161-100FE6FF3285}"/>
    <cellStyle name="20% - Accent6 2 3 4 4" xfId="10002" xr:uid="{170BFD1B-757C-4CCA-BAEB-F877D2F3F921}"/>
    <cellStyle name="20% - Accent6 2 3 4 5" xfId="18431" xr:uid="{CE6FB162-F6D3-4150-93D3-C75F85A85BF9}"/>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8" xr:uid="{4D47BF6E-B61C-4FDE-B27B-7717E8C25920}"/>
    <cellStyle name="20% - Accent6 2 3 5 2 2 3" xfId="25206" xr:uid="{F8A67298-1C17-47FD-8A9D-48EFCE4490CB}"/>
    <cellStyle name="20% - Accent6 2 3 5 2 3" xfId="12560" xr:uid="{EC1DF4B2-32D4-4D66-B023-11B294B199A0}"/>
    <cellStyle name="20% - Accent6 2 3 5 2 4" xfId="20989" xr:uid="{24372C86-69FD-48CB-8B80-FB8397F7EAF3}"/>
    <cellStyle name="20% - Accent6 2 3 5 3" xfId="6204" xr:uid="{00000000-0005-0000-0000-00005B030000}"/>
    <cellStyle name="20% - Accent6 2 3 5 3 2" xfId="14633" xr:uid="{5BF4F294-5BA7-451C-A21A-7A50DA298701}"/>
    <cellStyle name="20% - Accent6 2 3 5 3 3" xfId="23061" xr:uid="{05D712AC-25AD-4F19-9271-E97AA40993C6}"/>
    <cellStyle name="20% - Accent6 2 3 5 4" xfId="10415" xr:uid="{CFD2EE0B-B4D1-4E19-B08F-9EA19F55C2A6}"/>
    <cellStyle name="20% - Accent6 2 3 5 5" xfId="18844" xr:uid="{2BC679FA-CA79-4973-8304-E623A7D701CB}"/>
    <cellStyle name="20% - Accent6 2 3 6" xfId="2309" xr:uid="{00000000-0005-0000-0000-00005C030000}"/>
    <cellStyle name="20% - Accent6 2 3 6 2" xfId="6617" xr:uid="{00000000-0005-0000-0000-00005D030000}"/>
    <cellStyle name="20% - Accent6 2 3 6 2 2" xfId="15046" xr:uid="{727D43CB-6CC2-4FEB-80AF-54E442577CF4}"/>
    <cellStyle name="20% - Accent6 2 3 6 2 3" xfId="23474" xr:uid="{FA0B0EA7-9F10-4C87-8330-CACB180826F6}"/>
    <cellStyle name="20% - Accent6 2 3 6 3" xfId="10828" xr:uid="{90731DBF-7480-4EE3-AE8A-E606207C59A0}"/>
    <cellStyle name="20% - Accent6 2 3 6 4" xfId="19257" xr:uid="{69481B1C-0F4D-4427-8FA7-10F4710BDF88}"/>
    <cellStyle name="20% - Accent6 2 3 7" xfId="4551" xr:uid="{00000000-0005-0000-0000-00005E030000}"/>
    <cellStyle name="20% - Accent6 2 3 7 2" xfId="12980" xr:uid="{00443B4D-C450-448D-B821-8DDED1CFB9A5}"/>
    <cellStyle name="20% - Accent6 2 3 7 3" xfId="21408" xr:uid="{EB946E95-D8DB-4376-B2B8-357B7F647C86}"/>
    <cellStyle name="20% - Accent6 2 3 8" xfId="8762" xr:uid="{7F439803-1CF7-48C7-B61D-83B931721BC9}"/>
    <cellStyle name="20% - Accent6 2 3 9" xfId="17191" xr:uid="{A9CC3DC5-23CA-4630-BC3C-0C51ED5945BC}"/>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36" xr:uid="{62226052-1529-4E49-93B1-67E79D8774E2}"/>
    <cellStyle name="20% - Accent6 2 4 2 2 3" xfId="23964" xr:uid="{0B3CADFD-53BD-470B-98E9-45EB3D5F32F6}"/>
    <cellStyle name="20% - Accent6 2 4 2 3" xfId="11318" xr:uid="{E7390A96-92BB-489D-BD23-C647E1C0CAD6}"/>
    <cellStyle name="20% - Accent6 2 4 2 4" xfId="19747" xr:uid="{F93A5B48-8DCD-4502-936E-E10D9C08A7FE}"/>
    <cellStyle name="20% - Accent6 2 4 3" xfId="4962" xr:uid="{00000000-0005-0000-0000-000062030000}"/>
    <cellStyle name="20% - Accent6 2 4 3 2" xfId="13391" xr:uid="{5CBADEEF-6721-44D9-8A91-D0C32D996F7F}"/>
    <cellStyle name="20% - Accent6 2 4 3 3" xfId="21819" xr:uid="{861A2B93-D4A9-4DF2-901A-D518C0B082C2}"/>
    <cellStyle name="20% - Accent6 2 4 4" xfId="9173" xr:uid="{A41E18D8-7C67-48BC-B3B8-733D30F06C40}"/>
    <cellStyle name="20% - Accent6 2 4 5" xfId="17602" xr:uid="{394C516F-0DC8-4AFE-B00D-0C6D4B49A542}"/>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9" xr:uid="{51BCE466-5979-48F0-9DDF-76DA7081E86B}"/>
    <cellStyle name="20% - Accent6 2 5 2 2 3" xfId="24377" xr:uid="{53C236D5-2F4D-43C4-9576-C35B507534E3}"/>
    <cellStyle name="20% - Accent6 2 5 2 3" xfId="11731" xr:uid="{C6E6E169-9A94-4EC2-9F7C-D19545D97D34}"/>
    <cellStyle name="20% - Accent6 2 5 2 4" xfId="20160" xr:uid="{53B92DBB-FABE-46CB-96D7-D32BB7E9FBBE}"/>
    <cellStyle name="20% - Accent6 2 5 3" xfId="5375" xr:uid="{00000000-0005-0000-0000-000066030000}"/>
    <cellStyle name="20% - Accent6 2 5 3 2" xfId="13804" xr:uid="{5AE2BC20-44A7-4ED7-94CB-2B1B0A105FB3}"/>
    <cellStyle name="20% - Accent6 2 5 3 3" xfId="22232" xr:uid="{F2E041BE-3A24-4827-B197-BCD0C9D06106}"/>
    <cellStyle name="20% - Accent6 2 5 4" xfId="9586" xr:uid="{2B8D6817-1594-43D3-8038-5A5F9D31061E}"/>
    <cellStyle name="20% - Accent6 2 5 5" xfId="18015" xr:uid="{0E3C6495-3BC0-4F0D-B5AC-5441B82FA7FF}"/>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62" xr:uid="{AA6BE233-3AAE-4032-86DF-21894307AAA5}"/>
    <cellStyle name="20% - Accent6 2 6 2 2 3" xfId="24790" xr:uid="{5D55A91D-2830-49B8-A607-E640B92E49B1}"/>
    <cellStyle name="20% - Accent6 2 6 2 3" xfId="12144" xr:uid="{9E41104D-F775-4DDF-9085-8557AA05C9D1}"/>
    <cellStyle name="20% - Accent6 2 6 2 4" xfId="20573" xr:uid="{4CA2E4E7-D8E6-45E0-BD90-1C41A84000D9}"/>
    <cellStyle name="20% - Accent6 2 6 3" xfId="5788" xr:uid="{00000000-0005-0000-0000-00006A030000}"/>
    <cellStyle name="20% - Accent6 2 6 3 2" xfId="14217" xr:uid="{A8196276-8C5B-461F-9B2A-F8FF6C436547}"/>
    <cellStyle name="20% - Accent6 2 6 3 3" xfId="22645" xr:uid="{0B759A68-565E-401C-83ED-7337446137AF}"/>
    <cellStyle name="20% - Accent6 2 6 4" xfId="9999" xr:uid="{FDC4C490-19FD-4A4A-A7A9-320F6C8341DA}"/>
    <cellStyle name="20% - Accent6 2 6 5" xfId="18428" xr:uid="{DF4BA667-0E0D-452B-831B-FB85962561CC}"/>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75" xr:uid="{09E77F81-17D7-4F19-9971-5E9DA9AA52DF}"/>
    <cellStyle name="20% - Accent6 2 7 2 2 3" xfId="25203" xr:uid="{8BC699A0-4E90-4B3F-9897-98491C90EC77}"/>
    <cellStyle name="20% - Accent6 2 7 2 3" xfId="12557" xr:uid="{1206E983-9EE1-4E55-AAAF-FCC57DEC623A}"/>
    <cellStyle name="20% - Accent6 2 7 2 4" xfId="20986" xr:uid="{380F21A3-BA96-4B64-9719-DAC967D64305}"/>
    <cellStyle name="20% - Accent6 2 7 3" xfId="6201" xr:uid="{00000000-0005-0000-0000-00006E030000}"/>
    <cellStyle name="20% - Accent6 2 7 3 2" xfId="14630" xr:uid="{AAB04776-A598-4B90-BDD4-68950652A5DA}"/>
    <cellStyle name="20% - Accent6 2 7 3 3" xfId="23058" xr:uid="{074BB590-9E1F-4C9B-BF32-0CF82A446E2B}"/>
    <cellStyle name="20% - Accent6 2 7 4" xfId="10412" xr:uid="{CD116512-1070-4249-B395-7C32C51888B5}"/>
    <cellStyle name="20% - Accent6 2 7 5" xfId="18841" xr:uid="{BA9EE0EC-BB96-426C-98E8-6E84BA9F00ED}"/>
    <cellStyle name="20% - Accent6 2 8" xfId="2306" xr:uid="{00000000-0005-0000-0000-00006F030000}"/>
    <cellStyle name="20% - Accent6 2 8 2" xfId="6614" xr:uid="{00000000-0005-0000-0000-000070030000}"/>
    <cellStyle name="20% - Accent6 2 8 2 2" xfId="15043" xr:uid="{04737E0B-8073-4699-B038-9F848D2B75AF}"/>
    <cellStyle name="20% - Accent6 2 8 2 3" xfId="23471" xr:uid="{C25263C5-853A-46E0-9A06-51EC74850071}"/>
    <cellStyle name="20% - Accent6 2 8 3" xfId="10825" xr:uid="{ED815DF1-07A6-463F-8143-65F3A5BF76F2}"/>
    <cellStyle name="20% - Accent6 2 8 4" xfId="19254" xr:uid="{8D11402A-0807-4768-BD91-1209452F2C34}"/>
    <cellStyle name="20% - Accent6 2 9" xfId="4548" xr:uid="{00000000-0005-0000-0000-000071030000}"/>
    <cellStyle name="20% - Accent6 2 9 2" xfId="12977" xr:uid="{A96D3B2B-B5AB-4C9B-883D-63B57F6D189A}"/>
    <cellStyle name="20% - Accent6 2 9 3" xfId="21405" xr:uid="{4B070EEA-6890-47FE-981C-7B7C6681FBBC}"/>
    <cellStyle name="20% - Accent6 3" xfId="46" xr:uid="{00000000-0005-0000-0000-000072030000}"/>
    <cellStyle name="20% - Accent6 3 10" xfId="17192" xr:uid="{A8C64FBE-EF07-4013-844F-9B25996FFDDF}"/>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41" xr:uid="{313D4FA1-5767-41D4-9D47-974CA4C830CB}"/>
    <cellStyle name="20% - Accent6 3 2 2 2 2 3" xfId="23969" xr:uid="{CC59F8E8-9731-4F2C-A08E-C675B20BE2E4}"/>
    <cellStyle name="20% - Accent6 3 2 2 2 3" xfId="11323" xr:uid="{6D1FB193-EBCA-4831-BA7B-98078728CD84}"/>
    <cellStyle name="20% - Accent6 3 2 2 2 4" xfId="19752" xr:uid="{06788723-7799-4014-8157-6C152177FE45}"/>
    <cellStyle name="20% - Accent6 3 2 2 3" xfId="4967" xr:uid="{00000000-0005-0000-0000-000077030000}"/>
    <cellStyle name="20% - Accent6 3 2 2 3 2" xfId="13396" xr:uid="{B7DC11E0-77DB-44CA-8BEC-42EECE2B4714}"/>
    <cellStyle name="20% - Accent6 3 2 2 3 3" xfId="21824" xr:uid="{EE542813-BAA4-414B-84E0-8762EF2713E2}"/>
    <cellStyle name="20% - Accent6 3 2 2 4" xfId="9178" xr:uid="{D030D47C-AF12-4664-A23B-063A16A33FFC}"/>
    <cellStyle name="20% - Accent6 3 2 2 5" xfId="17607" xr:uid="{55C4F8A0-3AF9-420C-BB95-B68F4C1ACC39}"/>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54" xr:uid="{D31E2A8F-8A2E-4BC5-BBD0-E9D75E2F356E}"/>
    <cellStyle name="20% - Accent6 3 2 3 2 2 3" xfId="24382" xr:uid="{BECC64B6-4094-40BC-A812-4AEB632C89DF}"/>
    <cellStyle name="20% - Accent6 3 2 3 2 3" xfId="11736" xr:uid="{F04B3943-1F12-4209-B11D-162768DE6D32}"/>
    <cellStyle name="20% - Accent6 3 2 3 2 4" xfId="20165" xr:uid="{B4C40A3A-B004-49A8-9FF2-4E526C4185D9}"/>
    <cellStyle name="20% - Accent6 3 2 3 3" xfId="5380" xr:uid="{00000000-0005-0000-0000-00007B030000}"/>
    <cellStyle name="20% - Accent6 3 2 3 3 2" xfId="13809" xr:uid="{36A1CB0E-61DB-45AB-87F6-E8E4DC5766A8}"/>
    <cellStyle name="20% - Accent6 3 2 3 3 3" xfId="22237" xr:uid="{A9E0EF7F-C3A7-412A-A467-C21F5D37E4FE}"/>
    <cellStyle name="20% - Accent6 3 2 3 4" xfId="9591" xr:uid="{488A5081-B667-439D-8353-6A9ECEF4D545}"/>
    <cellStyle name="20% - Accent6 3 2 3 5" xfId="18020" xr:uid="{42C9429F-0581-4B4D-9BD7-EBC5B0848E32}"/>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7" xr:uid="{18EF15A5-4F3E-4F76-A407-3AE3AF6BC41A}"/>
    <cellStyle name="20% - Accent6 3 2 4 2 2 3" xfId="24795" xr:uid="{66682CDC-473F-481E-8EB3-B4107DBF7721}"/>
    <cellStyle name="20% - Accent6 3 2 4 2 3" xfId="12149" xr:uid="{71862307-68E9-44F7-9C07-C7CC6674FE63}"/>
    <cellStyle name="20% - Accent6 3 2 4 2 4" xfId="20578" xr:uid="{F2364EEF-BE30-41EA-8DD8-1A4C72476BD3}"/>
    <cellStyle name="20% - Accent6 3 2 4 3" xfId="5793" xr:uid="{00000000-0005-0000-0000-00007F030000}"/>
    <cellStyle name="20% - Accent6 3 2 4 3 2" xfId="14222" xr:uid="{E79046DB-B1E4-4349-8DB5-9C25C2B9475B}"/>
    <cellStyle name="20% - Accent6 3 2 4 3 3" xfId="22650" xr:uid="{EB571691-3EBF-49E6-884A-3498BB5819A5}"/>
    <cellStyle name="20% - Accent6 3 2 4 4" xfId="10004" xr:uid="{17BFEC1E-D92C-41FD-B8D1-05F4F88569E5}"/>
    <cellStyle name="20% - Accent6 3 2 4 5" xfId="18433" xr:uid="{3DE03060-86FE-4FD6-BFE3-C8B7EEB920DB}"/>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80" xr:uid="{38810DF9-949C-4988-AB57-1FA869454386}"/>
    <cellStyle name="20% - Accent6 3 2 5 2 2 3" xfId="25208" xr:uid="{C66726B4-F552-4AEB-89E6-16826EB5D72E}"/>
    <cellStyle name="20% - Accent6 3 2 5 2 3" xfId="12562" xr:uid="{A47FDB56-1B00-44FD-997A-DE9E31C48D4A}"/>
    <cellStyle name="20% - Accent6 3 2 5 2 4" xfId="20991" xr:uid="{F624CEAC-CFFA-40AD-8A8C-EB90C022AC39}"/>
    <cellStyle name="20% - Accent6 3 2 5 3" xfId="6206" xr:uid="{00000000-0005-0000-0000-000083030000}"/>
    <cellStyle name="20% - Accent6 3 2 5 3 2" xfId="14635" xr:uid="{6D7D672B-4B54-4E25-A159-884B1DCE2CAF}"/>
    <cellStyle name="20% - Accent6 3 2 5 3 3" xfId="23063" xr:uid="{FE733814-4B64-45E7-BC57-F70883BBD022}"/>
    <cellStyle name="20% - Accent6 3 2 5 4" xfId="10417" xr:uid="{8113BE56-C3F8-4F79-A3AE-2DCED0F0E560}"/>
    <cellStyle name="20% - Accent6 3 2 5 5" xfId="18846" xr:uid="{FAF30E25-4690-4AB7-9CC0-053AFD1E4956}"/>
    <cellStyle name="20% - Accent6 3 2 6" xfId="2311" xr:uid="{00000000-0005-0000-0000-000084030000}"/>
    <cellStyle name="20% - Accent6 3 2 6 2" xfId="6619" xr:uid="{00000000-0005-0000-0000-000085030000}"/>
    <cellStyle name="20% - Accent6 3 2 6 2 2" xfId="15048" xr:uid="{F4E66B3F-2935-42DD-8900-A7DD8B215AA1}"/>
    <cellStyle name="20% - Accent6 3 2 6 2 3" xfId="23476" xr:uid="{49671335-ABBE-45F5-99FA-AAABCAD5B12E}"/>
    <cellStyle name="20% - Accent6 3 2 6 3" xfId="10830" xr:uid="{5905B059-6F79-4545-9704-AC8422A534F3}"/>
    <cellStyle name="20% - Accent6 3 2 6 4" xfId="19259" xr:uid="{0CF4B7D2-4992-4542-AA98-8FA6CD099A8E}"/>
    <cellStyle name="20% - Accent6 3 2 7" xfId="4553" xr:uid="{00000000-0005-0000-0000-000086030000}"/>
    <cellStyle name="20% - Accent6 3 2 7 2" xfId="12982" xr:uid="{083A3797-656E-484E-AED0-E6409E07A2E6}"/>
    <cellStyle name="20% - Accent6 3 2 7 3" xfId="21410" xr:uid="{7A7BCCC5-C214-4F71-B6C0-CCBBFC43F999}"/>
    <cellStyle name="20% - Accent6 3 2 8" xfId="8764" xr:uid="{797A52B6-FC41-4AF2-8961-C5E094110D44}"/>
    <cellStyle name="20% - Accent6 3 2 9" xfId="17193" xr:uid="{D1EAF785-8AB8-4173-AB65-48C50A073653}"/>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40" xr:uid="{DE4CD2D6-EBC2-4441-9114-27633A33804C}"/>
    <cellStyle name="20% - Accent6 3 3 2 2 3" xfId="23968" xr:uid="{6BA38D70-631C-44B8-98E5-33124F404E20}"/>
    <cellStyle name="20% - Accent6 3 3 2 3" xfId="11322" xr:uid="{15733084-7B16-49A4-84AC-58AFF29ECEA7}"/>
    <cellStyle name="20% - Accent6 3 3 2 4" xfId="19751" xr:uid="{79DC7E85-932C-4691-9283-EBB3C9882CC2}"/>
    <cellStyle name="20% - Accent6 3 3 3" xfId="4966" xr:uid="{00000000-0005-0000-0000-00008A030000}"/>
    <cellStyle name="20% - Accent6 3 3 3 2" xfId="13395" xr:uid="{E949CF32-CEF9-484B-9A3A-82EF20BE9A0B}"/>
    <cellStyle name="20% - Accent6 3 3 3 3" xfId="21823" xr:uid="{BCF988FE-E314-4DD5-AA3A-37933309E035}"/>
    <cellStyle name="20% - Accent6 3 3 4" xfId="9177" xr:uid="{DAA07F72-828C-47BC-BCC3-D795C5D9F487}"/>
    <cellStyle name="20% - Accent6 3 3 5" xfId="17606" xr:uid="{81875527-71AB-48FC-9881-85EFC9C5F219}"/>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53" xr:uid="{7E77DCE0-0608-4122-B7A7-E6BAB1DCB7C9}"/>
    <cellStyle name="20% - Accent6 3 4 2 2 3" xfId="24381" xr:uid="{1A365605-0F85-4E6A-8D59-03649EB44E62}"/>
    <cellStyle name="20% - Accent6 3 4 2 3" xfId="11735" xr:uid="{13A97589-CC69-45A4-97D0-9DBEA10E717C}"/>
    <cellStyle name="20% - Accent6 3 4 2 4" xfId="20164" xr:uid="{257669FD-6E5F-47E3-A76C-823B730B4327}"/>
    <cellStyle name="20% - Accent6 3 4 3" xfId="5379" xr:uid="{00000000-0005-0000-0000-00008E030000}"/>
    <cellStyle name="20% - Accent6 3 4 3 2" xfId="13808" xr:uid="{7FA5F110-C34C-47FB-8CC5-4617DB393CC2}"/>
    <cellStyle name="20% - Accent6 3 4 3 3" xfId="22236" xr:uid="{D5FE7083-594D-4753-9380-3E70F7A4B9E7}"/>
    <cellStyle name="20% - Accent6 3 4 4" xfId="9590" xr:uid="{FE40D93D-AFC5-40A5-87D4-8F0A67C52B99}"/>
    <cellStyle name="20% - Accent6 3 4 5" xfId="18019" xr:uid="{52F3788D-BD7B-4ED2-BD17-2060BFD8A42D}"/>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66" xr:uid="{D8DA5E24-3FF2-468E-8E46-7F0D884B3220}"/>
    <cellStyle name="20% - Accent6 3 5 2 2 3" xfId="24794" xr:uid="{B2866B96-815E-4A5D-AD62-EE2025A620A2}"/>
    <cellStyle name="20% - Accent6 3 5 2 3" xfId="12148" xr:uid="{3776470F-1A4D-4A59-966B-F3FBB77E743B}"/>
    <cellStyle name="20% - Accent6 3 5 2 4" xfId="20577" xr:uid="{6547A8BB-7477-4050-9C68-D5EBE8E54791}"/>
    <cellStyle name="20% - Accent6 3 5 3" xfId="5792" xr:uid="{00000000-0005-0000-0000-000092030000}"/>
    <cellStyle name="20% - Accent6 3 5 3 2" xfId="14221" xr:uid="{2A4BB52D-ED96-40E0-BDB0-30A05FEAD038}"/>
    <cellStyle name="20% - Accent6 3 5 3 3" xfId="22649" xr:uid="{9E1D927E-02E5-4FA4-8553-2C221C9FC17B}"/>
    <cellStyle name="20% - Accent6 3 5 4" xfId="10003" xr:uid="{6D39CF8B-2E37-4B17-8246-7FE3228B1B96}"/>
    <cellStyle name="20% - Accent6 3 5 5" xfId="18432" xr:uid="{314F89D0-9682-4C8C-8BC9-494EB66BE242}"/>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9" xr:uid="{BC0FE1F2-6493-4252-9DAB-4A46718C08C9}"/>
    <cellStyle name="20% - Accent6 3 6 2 2 3" xfId="25207" xr:uid="{5E1CF7BF-CF7D-4BE4-932B-255A8A1412C2}"/>
    <cellStyle name="20% - Accent6 3 6 2 3" xfId="12561" xr:uid="{0825B33A-8387-45CC-A708-F8E540496466}"/>
    <cellStyle name="20% - Accent6 3 6 2 4" xfId="20990" xr:uid="{FD08994F-040B-4F77-86D7-FBC9DF71DD7D}"/>
    <cellStyle name="20% - Accent6 3 6 3" xfId="6205" xr:uid="{00000000-0005-0000-0000-000096030000}"/>
    <cellStyle name="20% - Accent6 3 6 3 2" xfId="14634" xr:uid="{A8905DB2-44AA-4218-8BA2-E23B5822815D}"/>
    <cellStyle name="20% - Accent6 3 6 3 3" xfId="23062" xr:uid="{7072B833-2A75-4004-8196-FD84EFA9B376}"/>
    <cellStyle name="20% - Accent6 3 6 4" xfId="10416" xr:uid="{FCEE4388-84EE-49B8-84DA-31586AF57E10}"/>
    <cellStyle name="20% - Accent6 3 6 5" xfId="18845" xr:uid="{41FA2F0C-03E9-4E2B-A298-0322283A1380}"/>
    <cellStyle name="20% - Accent6 3 7" xfId="2310" xr:uid="{00000000-0005-0000-0000-000097030000}"/>
    <cellStyle name="20% - Accent6 3 7 2" xfId="6618" xr:uid="{00000000-0005-0000-0000-000098030000}"/>
    <cellStyle name="20% - Accent6 3 7 2 2" xfId="15047" xr:uid="{9187299E-CBD2-49F8-B181-EDCF4C461A9C}"/>
    <cellStyle name="20% - Accent6 3 7 2 3" xfId="23475" xr:uid="{BE783540-5E1E-4A97-ABB0-B2D5C754B1D3}"/>
    <cellStyle name="20% - Accent6 3 7 3" xfId="10829" xr:uid="{D3B938C6-B66A-47BE-92AA-5E84291903C9}"/>
    <cellStyle name="20% - Accent6 3 7 4" xfId="19258" xr:uid="{824B3541-29BC-4683-8635-20BA7A0BFEB8}"/>
    <cellStyle name="20% - Accent6 3 8" xfId="4552" xr:uid="{00000000-0005-0000-0000-000099030000}"/>
    <cellStyle name="20% - Accent6 3 8 2" xfId="12981" xr:uid="{61FF8659-D6E8-4D6F-AE9D-E0EFCC03F55B}"/>
    <cellStyle name="20% - Accent6 3 8 3" xfId="21409" xr:uid="{B3961DC0-F54E-486D-80C6-FDE874D830C6}"/>
    <cellStyle name="20% - Accent6 3 9" xfId="8763" xr:uid="{44D5FFE3-5F8A-497D-BFFB-67CACD3722C2}"/>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42" xr:uid="{32773A93-34D2-48F1-8C0B-1A475A5D2C79}"/>
    <cellStyle name="20% - Accent6 4 2 2 2 3" xfId="23970" xr:uid="{03A7FF7E-A6E5-4D80-95B2-B181850A0C91}"/>
    <cellStyle name="20% - Accent6 4 2 2 3" xfId="11324" xr:uid="{75330DE0-BCB2-4BA1-AAD0-4CA89C1D451B}"/>
    <cellStyle name="20% - Accent6 4 2 2 4" xfId="19753" xr:uid="{51C61C9A-486A-4F97-A37F-BFFCD4BDF89F}"/>
    <cellStyle name="20% - Accent6 4 2 3" xfId="4968" xr:uid="{00000000-0005-0000-0000-00009E030000}"/>
    <cellStyle name="20% - Accent6 4 2 3 2" xfId="13397" xr:uid="{D01584B2-2EE6-4B53-A881-D41A8627CD6F}"/>
    <cellStyle name="20% - Accent6 4 2 3 3" xfId="21825" xr:uid="{370B1B78-AFF1-4D55-BE45-18AF80900745}"/>
    <cellStyle name="20% - Accent6 4 2 4" xfId="9179" xr:uid="{257B6E05-50EA-4508-A921-6C8426924CDA}"/>
    <cellStyle name="20% - Accent6 4 2 5" xfId="17608" xr:uid="{856FE253-18CE-4080-8267-FB509B368C8C}"/>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55" xr:uid="{10E161AA-5FD3-42DA-B2E6-7B1DD7C0BAC6}"/>
    <cellStyle name="20% - Accent6 4 3 2 2 3" xfId="24383" xr:uid="{BCD45333-6CDC-4078-BBE9-AFE87D164A82}"/>
    <cellStyle name="20% - Accent6 4 3 2 3" xfId="11737" xr:uid="{6B8F2F88-BF51-49CF-8209-61A0C20FDC7C}"/>
    <cellStyle name="20% - Accent6 4 3 2 4" xfId="20166" xr:uid="{A0D3395A-D7DB-47A6-934D-318D1E060462}"/>
    <cellStyle name="20% - Accent6 4 3 3" xfId="5381" xr:uid="{00000000-0005-0000-0000-0000A2030000}"/>
    <cellStyle name="20% - Accent6 4 3 3 2" xfId="13810" xr:uid="{E3AE28D0-380D-4AE8-9D30-88AEBE8CF041}"/>
    <cellStyle name="20% - Accent6 4 3 3 3" xfId="22238" xr:uid="{97769381-A733-4C55-BB3D-55C859257421}"/>
    <cellStyle name="20% - Accent6 4 3 4" xfId="9592" xr:uid="{B3684D7C-9B4D-4EAB-85CC-75472AAD0FA8}"/>
    <cellStyle name="20% - Accent6 4 3 5" xfId="18021" xr:uid="{CEBCC7B4-66D5-45B6-868D-8F7E91DAD9F7}"/>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8" xr:uid="{D4562D48-9180-467F-8D11-AC7305B24428}"/>
    <cellStyle name="20% - Accent6 4 4 2 2 3" xfId="24796" xr:uid="{B6C76479-F175-4F76-8CEC-0C921F8709B8}"/>
    <cellStyle name="20% - Accent6 4 4 2 3" xfId="12150" xr:uid="{43A9E5EA-70C9-41F1-B5A5-A158290EBBC5}"/>
    <cellStyle name="20% - Accent6 4 4 2 4" xfId="20579" xr:uid="{B7EE7361-EFAB-420F-A213-44B9C940C079}"/>
    <cellStyle name="20% - Accent6 4 4 3" xfId="5794" xr:uid="{00000000-0005-0000-0000-0000A6030000}"/>
    <cellStyle name="20% - Accent6 4 4 3 2" xfId="14223" xr:uid="{C54B9A92-1C55-4BE0-AAFA-105226A94C1A}"/>
    <cellStyle name="20% - Accent6 4 4 3 3" xfId="22651" xr:uid="{FF3E633B-0F57-4BA7-8602-591A1AA5CBB8}"/>
    <cellStyle name="20% - Accent6 4 4 4" xfId="10005" xr:uid="{BC112CDA-9E04-492F-A07E-F62A1C74684B}"/>
    <cellStyle name="20% - Accent6 4 4 5" xfId="18434" xr:uid="{CDBE1F3F-A742-4F1D-9D05-6BC800DF42ED}"/>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81" xr:uid="{D8EA467F-7F3A-4CCC-BC52-5BCA48EA2EC6}"/>
    <cellStyle name="20% - Accent6 4 5 2 2 3" xfId="25209" xr:uid="{F17A5E1A-5E07-4159-AED1-1E9426411334}"/>
    <cellStyle name="20% - Accent6 4 5 2 3" xfId="12563" xr:uid="{8ACD2FC2-755A-457A-B6CA-EF7574907EEE}"/>
    <cellStyle name="20% - Accent6 4 5 2 4" xfId="20992" xr:uid="{F36885DC-FEED-40F7-9497-A45B55A647D6}"/>
    <cellStyle name="20% - Accent6 4 5 3" xfId="6207" xr:uid="{00000000-0005-0000-0000-0000AA030000}"/>
    <cellStyle name="20% - Accent6 4 5 3 2" xfId="14636" xr:uid="{7F1EB865-F7F9-49A3-8C41-74C3F37E1995}"/>
    <cellStyle name="20% - Accent6 4 5 3 3" xfId="23064" xr:uid="{8C879560-F75F-4BBE-AA02-17A028F3E21E}"/>
    <cellStyle name="20% - Accent6 4 5 4" xfId="10418" xr:uid="{23BE2415-9C59-432A-8F73-433E7EDC7064}"/>
    <cellStyle name="20% - Accent6 4 5 5" xfId="18847" xr:uid="{9A07697B-E76D-4664-8528-026EFB4F5363}"/>
    <cellStyle name="20% - Accent6 4 6" xfId="2312" xr:uid="{00000000-0005-0000-0000-0000AB030000}"/>
    <cellStyle name="20% - Accent6 4 6 2" xfId="6620" xr:uid="{00000000-0005-0000-0000-0000AC030000}"/>
    <cellStyle name="20% - Accent6 4 6 2 2" xfId="15049" xr:uid="{2A5D12DF-30C1-4DD1-8E1E-D5C9B0294624}"/>
    <cellStyle name="20% - Accent6 4 6 2 3" xfId="23477" xr:uid="{21031722-7AE0-44BC-A546-2E4670696DE1}"/>
    <cellStyle name="20% - Accent6 4 6 3" xfId="10831" xr:uid="{1FBB6944-1A23-4F5E-8623-E5FE530D3811}"/>
    <cellStyle name="20% - Accent6 4 6 4" xfId="19260" xr:uid="{51064BE8-BF3B-44E5-B094-0AF346103882}"/>
    <cellStyle name="20% - Accent6 4 7" xfId="4554" xr:uid="{00000000-0005-0000-0000-0000AD030000}"/>
    <cellStyle name="20% - Accent6 4 7 2" xfId="12983" xr:uid="{BB6AE5D3-1C2D-4185-AA09-33EB74776B54}"/>
    <cellStyle name="20% - Accent6 4 7 3" xfId="21411" xr:uid="{9188E790-7E67-45BE-9B3C-F187EE0FCE16}"/>
    <cellStyle name="20% - Accent6 4 8" xfId="8765" xr:uid="{C9692BD1-B94C-4167-A9FF-A99077E75B37}"/>
    <cellStyle name="20% - Accent6 4 9" xfId="17194" xr:uid="{B1B5002F-4CF6-47BA-97BD-1067CA431540}"/>
    <cellStyle name="20% - Accent6 5" xfId="611" xr:uid="{00000000-0005-0000-0000-0000AE030000}"/>
    <cellStyle name="20% - Accent6 5 2" xfId="2882" xr:uid="{00000000-0005-0000-0000-0000AF030000}"/>
    <cellStyle name="20% - Accent6 5 2 2" xfId="7106" xr:uid="{00000000-0005-0000-0000-0000B0030000}"/>
    <cellStyle name="20% - Accent6 5 2 2 2" xfId="15535" xr:uid="{E7458951-F9A4-4B97-AA9E-76A1AC1BB965}"/>
    <cellStyle name="20% - Accent6 5 2 2 3" xfId="23963" xr:uid="{1B21BB93-2770-4529-A09C-62B44A7DCCF9}"/>
    <cellStyle name="20% - Accent6 5 2 3" xfId="11317" xr:uid="{8F3EE5D2-A2F7-4F30-A832-C1D06AB9D99E}"/>
    <cellStyle name="20% - Accent6 5 2 4" xfId="19746" xr:uid="{70A3848A-9B7F-4E68-AC82-F1B4CC2EA93B}"/>
    <cellStyle name="20% - Accent6 5 3" xfId="4961" xr:uid="{00000000-0005-0000-0000-0000B1030000}"/>
    <cellStyle name="20% - Accent6 5 3 2" xfId="13390" xr:uid="{823911B2-A5AE-42A4-BE41-9F22E6E8ED2C}"/>
    <cellStyle name="20% - Accent6 5 3 3" xfId="21818" xr:uid="{69976AD7-93A9-4C95-B0DF-BE2F3B4A9F8D}"/>
    <cellStyle name="20% - Accent6 5 4" xfId="9172" xr:uid="{5A8D3E52-C632-44B8-816A-01CE71453F88}"/>
    <cellStyle name="20% - Accent6 5 5" xfId="17601" xr:uid="{49396C89-1082-4342-8196-071F7DAEB85A}"/>
    <cellStyle name="20% - Accent6 6" xfId="1064" xr:uid="{00000000-0005-0000-0000-0000B2030000}"/>
    <cellStyle name="20% - Accent6 6 2" xfId="3295" xr:uid="{00000000-0005-0000-0000-0000B3030000}"/>
    <cellStyle name="20% - Accent6 6 2 2" xfId="7519" xr:uid="{00000000-0005-0000-0000-0000B4030000}"/>
    <cellStyle name="20% - Accent6 6 2 2 2" xfId="15948" xr:uid="{681CD49D-C697-4AED-9DC4-287756AD5517}"/>
    <cellStyle name="20% - Accent6 6 2 2 3" xfId="24376" xr:uid="{3231D96B-CDE6-4429-8C32-64D897735B37}"/>
    <cellStyle name="20% - Accent6 6 2 3" xfId="11730" xr:uid="{4E5F938B-C583-4154-9496-D532C99CA73F}"/>
    <cellStyle name="20% - Accent6 6 2 4" xfId="20159" xr:uid="{E92F75E3-56D8-4D81-8A38-20217FDCEA26}"/>
    <cellStyle name="20% - Accent6 6 3" xfId="5374" xr:uid="{00000000-0005-0000-0000-0000B5030000}"/>
    <cellStyle name="20% - Accent6 6 3 2" xfId="13803" xr:uid="{E780C4C1-A65C-4B93-8D0F-D2471ED5AF0D}"/>
    <cellStyle name="20% - Accent6 6 3 3" xfId="22231" xr:uid="{B05FC107-9F1C-473D-ACDD-E59C594B2FE0}"/>
    <cellStyle name="20% - Accent6 6 4" xfId="9585" xr:uid="{A85D3510-8769-4CCD-86FA-E253F76E9009}"/>
    <cellStyle name="20% - Accent6 6 5" xfId="18014" xr:uid="{886E7F54-0469-4F99-BDEA-C238817F3C22}"/>
    <cellStyle name="20% - Accent6 7" xfId="1478" xr:uid="{00000000-0005-0000-0000-0000B6030000}"/>
    <cellStyle name="20% - Accent6 7 2" xfId="3708" xr:uid="{00000000-0005-0000-0000-0000B7030000}"/>
    <cellStyle name="20% - Accent6 7 2 2" xfId="7932" xr:uid="{00000000-0005-0000-0000-0000B8030000}"/>
    <cellStyle name="20% - Accent6 7 2 2 2" xfId="16361" xr:uid="{4DFEABA1-7DB5-4323-BA05-00AF5AB79E4D}"/>
    <cellStyle name="20% - Accent6 7 2 2 3" xfId="24789" xr:uid="{D27D69AD-62FF-48D9-A253-1856B1285198}"/>
    <cellStyle name="20% - Accent6 7 2 3" xfId="12143" xr:uid="{9079E5A5-F959-439B-9A0A-19670C3077CE}"/>
    <cellStyle name="20% - Accent6 7 2 4" xfId="20572" xr:uid="{D85B10F6-606C-4821-8064-0B7F9D63D872}"/>
    <cellStyle name="20% - Accent6 7 3" xfId="5787" xr:uid="{00000000-0005-0000-0000-0000B9030000}"/>
    <cellStyle name="20% - Accent6 7 3 2" xfId="14216" xr:uid="{FD7EFA87-4813-4213-B872-206CED3AEED0}"/>
    <cellStyle name="20% - Accent6 7 3 3" xfId="22644" xr:uid="{BA1AB0A8-724D-4782-B8A5-63F6EBBBAF9D}"/>
    <cellStyle name="20% - Accent6 7 4" xfId="9998" xr:uid="{3540E030-35A9-41E5-B1D5-71D85AE1CEF5}"/>
    <cellStyle name="20% - Accent6 7 5" xfId="18427" xr:uid="{AC8C7AD5-5971-44E3-BC7A-19FAEBCA2FF2}"/>
    <cellStyle name="20% - Accent6 8" xfId="1892" xr:uid="{00000000-0005-0000-0000-0000BA030000}"/>
    <cellStyle name="20% - Accent6 8 2" xfId="4121" xr:uid="{00000000-0005-0000-0000-0000BB030000}"/>
    <cellStyle name="20% - Accent6 8 2 2" xfId="8345" xr:uid="{00000000-0005-0000-0000-0000BC030000}"/>
    <cellStyle name="20% - Accent6 8 2 2 2" xfId="16774" xr:uid="{7C19FCE2-8F8C-4B0A-A7F6-4A7F3237F03A}"/>
    <cellStyle name="20% - Accent6 8 2 2 3" xfId="25202" xr:uid="{ED992524-2BB4-445C-8EBA-0DE77C2C95C1}"/>
    <cellStyle name="20% - Accent6 8 2 3" xfId="12556" xr:uid="{86B8DCE2-212E-41EA-A117-91749375C9D2}"/>
    <cellStyle name="20% - Accent6 8 2 4" xfId="20985" xr:uid="{DB5BE337-A35F-4662-9209-326C08963EB2}"/>
    <cellStyle name="20% - Accent6 8 3" xfId="6200" xr:uid="{00000000-0005-0000-0000-0000BD030000}"/>
    <cellStyle name="20% - Accent6 8 3 2" xfId="14629" xr:uid="{360CD807-3F66-47F4-B1B7-97E16024E969}"/>
    <cellStyle name="20% - Accent6 8 3 3" xfId="23057" xr:uid="{BF7FD89A-0403-4224-A66D-27DF7A9E522F}"/>
    <cellStyle name="20% - Accent6 8 4" xfId="10411" xr:uid="{0E8F7507-035C-413D-97D4-70E4AB2F4AE6}"/>
    <cellStyle name="20% - Accent6 8 5" xfId="18840" xr:uid="{5E505692-A5B2-4377-9415-56766E6A3BDD}"/>
    <cellStyle name="20% - Accent6 9" xfId="2305" xr:uid="{00000000-0005-0000-0000-0000BE030000}"/>
    <cellStyle name="20% - Accent6 9 2" xfId="6613" xr:uid="{00000000-0005-0000-0000-0000BF030000}"/>
    <cellStyle name="20% - Accent6 9 2 2" xfId="15042" xr:uid="{8B9FB410-4D48-4AFF-ADCD-DA7E0FFA9459}"/>
    <cellStyle name="20% - Accent6 9 2 3" xfId="23470" xr:uid="{F56CA942-40BD-4DAC-9F8D-CAD5BFF97BEE}"/>
    <cellStyle name="20% - Accent6 9 3" xfId="10824" xr:uid="{326AF98F-6046-457E-8CA1-49F455B5CD6E}"/>
    <cellStyle name="20% - Accent6 9 4" xfId="19253" xr:uid="{61580AF6-FDED-421A-9270-064845CA3A8B}"/>
    <cellStyle name="40% - Accent1" xfId="49" builtinId="31" customBuiltin="1"/>
    <cellStyle name="40% - Accent1 10" xfId="4555" xr:uid="{00000000-0005-0000-0000-0000C1030000}"/>
    <cellStyle name="40% - Accent1 10 2" xfId="12984" xr:uid="{186EE7A8-662D-46F7-AFF4-603640CA076A}"/>
    <cellStyle name="40% - Accent1 10 3" xfId="21412" xr:uid="{7FF126A5-E7C4-4E90-88BC-2859AC87D375}"/>
    <cellStyle name="40% - Accent1 11" xfId="8766" xr:uid="{3C60869B-56D6-4291-B126-99C19EF3D39C}"/>
    <cellStyle name="40% - Accent1 12" xfId="17195" xr:uid="{E88F74CA-BB1E-49E7-8A43-62E53C58884C}"/>
    <cellStyle name="40% - Accent1 2" xfId="50" xr:uid="{00000000-0005-0000-0000-0000C2030000}"/>
    <cellStyle name="40% - Accent1 2 10" xfId="8767" xr:uid="{79367E29-829B-4F4C-9372-1932C9758A48}"/>
    <cellStyle name="40% - Accent1 2 11" xfId="17196" xr:uid="{82454EC8-6DA5-4769-80F9-B0317E32E124}"/>
    <cellStyle name="40% - Accent1 2 2" xfId="51" xr:uid="{00000000-0005-0000-0000-0000C3030000}"/>
    <cellStyle name="40% - Accent1 2 2 10" xfId="17197" xr:uid="{B34B0EB6-33BF-491A-9BD9-8033D926062A}"/>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46" xr:uid="{1EBDF962-555E-48AD-A4D7-66998B916593}"/>
    <cellStyle name="40% - Accent1 2 2 2 2 2 2 3" xfId="23974" xr:uid="{D89AC155-90E4-4003-83D9-71618D198192}"/>
    <cellStyle name="40% - Accent1 2 2 2 2 2 3" xfId="11328" xr:uid="{084666AC-AA91-4268-9F4F-1A1C39B19448}"/>
    <cellStyle name="40% - Accent1 2 2 2 2 2 4" xfId="19757" xr:uid="{EB2F6F7C-9BE8-470E-8196-F6858997A903}"/>
    <cellStyle name="40% - Accent1 2 2 2 2 3" xfId="4972" xr:uid="{00000000-0005-0000-0000-0000C8030000}"/>
    <cellStyle name="40% - Accent1 2 2 2 2 3 2" xfId="13401" xr:uid="{2FE08ABC-6F61-4505-8745-3F4F72C4CAA3}"/>
    <cellStyle name="40% - Accent1 2 2 2 2 3 3" xfId="21829" xr:uid="{41813050-C819-442E-8023-A56FB1602942}"/>
    <cellStyle name="40% - Accent1 2 2 2 2 4" xfId="9183" xr:uid="{AE0FC281-1B89-427B-A13B-80C7D0501BC1}"/>
    <cellStyle name="40% - Accent1 2 2 2 2 5" xfId="17612" xr:uid="{DB1E7C76-BFA2-421D-AD02-D641BBC3A6E6}"/>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9" xr:uid="{C697EEB8-7D92-4929-BE78-DFDE1FFB560B}"/>
    <cellStyle name="40% - Accent1 2 2 2 3 2 2 3" xfId="24387" xr:uid="{7D983200-25A2-4D38-86F6-6ED200331D03}"/>
    <cellStyle name="40% - Accent1 2 2 2 3 2 3" xfId="11741" xr:uid="{44E813CC-9175-4BE0-9276-A80A8E33D582}"/>
    <cellStyle name="40% - Accent1 2 2 2 3 2 4" xfId="20170" xr:uid="{0D59C39C-AB57-4603-AD24-CD12B1F794C2}"/>
    <cellStyle name="40% - Accent1 2 2 2 3 3" xfId="5385" xr:uid="{00000000-0005-0000-0000-0000CC030000}"/>
    <cellStyle name="40% - Accent1 2 2 2 3 3 2" xfId="13814" xr:uid="{84F6512E-A8FE-41FE-B119-CE1798BB498C}"/>
    <cellStyle name="40% - Accent1 2 2 2 3 3 3" xfId="22242" xr:uid="{B01F33F5-0EF3-404E-B302-6F9A61179DDF}"/>
    <cellStyle name="40% - Accent1 2 2 2 3 4" xfId="9596" xr:uid="{7F7E695E-A1EB-4EB0-B590-AFA467D352F7}"/>
    <cellStyle name="40% - Accent1 2 2 2 3 5" xfId="18025" xr:uid="{6D7CC25B-9303-4C9D-8CD3-C69484EE2C03}"/>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72" xr:uid="{CA94FD4B-D93A-4030-94C2-6BB90D56E7B3}"/>
    <cellStyle name="40% - Accent1 2 2 2 4 2 2 3" xfId="24800" xr:uid="{A26F0E8C-C103-4395-9677-F4325B52A5B5}"/>
    <cellStyle name="40% - Accent1 2 2 2 4 2 3" xfId="12154" xr:uid="{ECDF680D-C4B8-4DFB-827D-7FC2625C05A2}"/>
    <cellStyle name="40% - Accent1 2 2 2 4 2 4" xfId="20583" xr:uid="{214CCA3F-0B15-4988-96A8-AEF433D6886B}"/>
    <cellStyle name="40% - Accent1 2 2 2 4 3" xfId="5798" xr:uid="{00000000-0005-0000-0000-0000D0030000}"/>
    <cellStyle name="40% - Accent1 2 2 2 4 3 2" xfId="14227" xr:uid="{E3012A41-C884-4982-B33E-93001883C797}"/>
    <cellStyle name="40% - Accent1 2 2 2 4 3 3" xfId="22655" xr:uid="{62378CA6-4036-4232-BAA7-B0FF21F4C8D3}"/>
    <cellStyle name="40% - Accent1 2 2 2 4 4" xfId="10009" xr:uid="{81DD21D6-742E-40AF-B9E4-9D61A1B14956}"/>
    <cellStyle name="40% - Accent1 2 2 2 4 5" xfId="18438" xr:uid="{91FB5999-7D31-436E-9F49-22F113A9017D}"/>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85" xr:uid="{5E50F260-F751-40FA-AEE4-60A966EDC25D}"/>
    <cellStyle name="40% - Accent1 2 2 2 5 2 2 3" xfId="25213" xr:uid="{154C5769-CC86-4728-826D-3A4BBF7B15EF}"/>
    <cellStyle name="40% - Accent1 2 2 2 5 2 3" xfId="12567" xr:uid="{C0F3EDA6-28C0-4715-81C9-BDEB79EEB9AC}"/>
    <cellStyle name="40% - Accent1 2 2 2 5 2 4" xfId="20996" xr:uid="{1DA38262-903F-4FA8-A20D-F1945D23C095}"/>
    <cellStyle name="40% - Accent1 2 2 2 5 3" xfId="6211" xr:uid="{00000000-0005-0000-0000-0000D4030000}"/>
    <cellStyle name="40% - Accent1 2 2 2 5 3 2" xfId="14640" xr:uid="{A618ECE1-5447-48E7-8355-89E05F116BAD}"/>
    <cellStyle name="40% - Accent1 2 2 2 5 3 3" xfId="23068" xr:uid="{DC16ADE8-D1F9-4583-8C69-45CF7B05D936}"/>
    <cellStyle name="40% - Accent1 2 2 2 5 4" xfId="10422" xr:uid="{5D0AE2C4-8805-4AE2-A091-5CD79EA3CB3A}"/>
    <cellStyle name="40% - Accent1 2 2 2 5 5" xfId="18851" xr:uid="{7C664C39-D649-4864-B57E-3A4B59349958}"/>
    <cellStyle name="40% - Accent1 2 2 2 6" xfId="2316" xr:uid="{00000000-0005-0000-0000-0000D5030000}"/>
    <cellStyle name="40% - Accent1 2 2 2 6 2" xfId="6624" xr:uid="{00000000-0005-0000-0000-0000D6030000}"/>
    <cellStyle name="40% - Accent1 2 2 2 6 2 2" xfId="15053" xr:uid="{01FFA35E-542D-4797-8BB6-A122D67344CD}"/>
    <cellStyle name="40% - Accent1 2 2 2 6 2 3" xfId="23481" xr:uid="{DDEBA777-1509-426C-8A32-9E265E4001CF}"/>
    <cellStyle name="40% - Accent1 2 2 2 6 3" xfId="10835" xr:uid="{C1335854-82FB-4903-B7B8-3796ACE827BA}"/>
    <cellStyle name="40% - Accent1 2 2 2 6 4" xfId="19264" xr:uid="{85A17A1B-C8CE-4AA4-ABD8-14EF3243D039}"/>
    <cellStyle name="40% - Accent1 2 2 2 7" xfId="4558" xr:uid="{00000000-0005-0000-0000-0000D7030000}"/>
    <cellStyle name="40% - Accent1 2 2 2 7 2" xfId="12987" xr:uid="{E00D6354-ED23-4C8C-8276-59A4196C2A0A}"/>
    <cellStyle name="40% - Accent1 2 2 2 7 3" xfId="21415" xr:uid="{6D9F7B7E-FA1A-4B9F-A313-47C5302A6D50}"/>
    <cellStyle name="40% - Accent1 2 2 2 8" xfId="8769" xr:uid="{86D86032-D606-4CAF-B11B-912555973C54}"/>
    <cellStyle name="40% - Accent1 2 2 2 9" xfId="17198" xr:uid="{C2E164AC-782A-4515-8250-AFC4AF51476C}"/>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45" xr:uid="{94EE84EA-01F6-4F37-9BAE-042F2460C26B}"/>
    <cellStyle name="40% - Accent1 2 2 3 2 2 3" xfId="23973" xr:uid="{A5941104-0DB0-4B90-B711-59BE512467DA}"/>
    <cellStyle name="40% - Accent1 2 2 3 2 3" xfId="11327" xr:uid="{1093FC95-3BC7-400F-A4C8-C79CCE2E6E48}"/>
    <cellStyle name="40% - Accent1 2 2 3 2 4" xfId="19756" xr:uid="{9CC761E0-1A17-4291-89DE-2043700FCD8B}"/>
    <cellStyle name="40% - Accent1 2 2 3 3" xfId="4971" xr:uid="{00000000-0005-0000-0000-0000DB030000}"/>
    <cellStyle name="40% - Accent1 2 2 3 3 2" xfId="13400" xr:uid="{8C2EC582-A30A-4A1E-B2E3-F255EED0EB5F}"/>
    <cellStyle name="40% - Accent1 2 2 3 3 3" xfId="21828" xr:uid="{BFB3BE25-AF66-4F8C-9C83-6431CFE8DD7A}"/>
    <cellStyle name="40% - Accent1 2 2 3 4" xfId="9182" xr:uid="{069928E3-07CB-433B-A767-7FB3DB6FECF5}"/>
    <cellStyle name="40% - Accent1 2 2 3 5" xfId="17611" xr:uid="{E12F8663-1924-4198-B633-1680EA550F49}"/>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8" xr:uid="{20823C63-42BD-4FD6-81EA-E821BAB4FE31}"/>
    <cellStyle name="40% - Accent1 2 2 4 2 2 3" xfId="24386" xr:uid="{112B7D53-6EDE-4714-8633-323E4A804E6C}"/>
    <cellStyle name="40% - Accent1 2 2 4 2 3" xfId="11740" xr:uid="{A29F084A-9DC7-4DC9-BEBF-AB6FF8001A60}"/>
    <cellStyle name="40% - Accent1 2 2 4 2 4" xfId="20169" xr:uid="{3D9C877A-6676-41F1-AF57-814C8EFD56BD}"/>
    <cellStyle name="40% - Accent1 2 2 4 3" xfId="5384" xr:uid="{00000000-0005-0000-0000-0000DF030000}"/>
    <cellStyle name="40% - Accent1 2 2 4 3 2" xfId="13813" xr:uid="{84791087-A5C4-45EA-838B-97723D89F713}"/>
    <cellStyle name="40% - Accent1 2 2 4 3 3" xfId="22241" xr:uid="{BE9A660C-A8EB-49CD-A106-95C1C3C88304}"/>
    <cellStyle name="40% - Accent1 2 2 4 4" xfId="9595" xr:uid="{595C1CE0-572E-4713-B410-DFE21A9AF13D}"/>
    <cellStyle name="40% - Accent1 2 2 4 5" xfId="18024" xr:uid="{197210C4-E338-4E3B-A9C8-930635E2AEA0}"/>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71" xr:uid="{4F9E1C75-F7B2-4ACA-9454-12D0A72D8C0F}"/>
    <cellStyle name="40% - Accent1 2 2 5 2 2 3" xfId="24799" xr:uid="{323D1FD6-DBDB-4405-A18B-FAA0D4643D9C}"/>
    <cellStyle name="40% - Accent1 2 2 5 2 3" xfId="12153" xr:uid="{5D09CF5A-82FE-456E-A75F-3665FB556AF1}"/>
    <cellStyle name="40% - Accent1 2 2 5 2 4" xfId="20582" xr:uid="{295C28FE-283E-4BF6-BC18-382B78D48CCE}"/>
    <cellStyle name="40% - Accent1 2 2 5 3" xfId="5797" xr:uid="{00000000-0005-0000-0000-0000E3030000}"/>
    <cellStyle name="40% - Accent1 2 2 5 3 2" xfId="14226" xr:uid="{363AFB32-61B8-4442-8803-3B902490D7B5}"/>
    <cellStyle name="40% - Accent1 2 2 5 3 3" xfId="22654" xr:uid="{E25D566C-A0F0-4C41-A683-F997746AC6FC}"/>
    <cellStyle name="40% - Accent1 2 2 5 4" xfId="10008" xr:uid="{C136C40C-7E13-49EB-8E95-424D80AA62D2}"/>
    <cellStyle name="40% - Accent1 2 2 5 5" xfId="18437" xr:uid="{EAB55A89-1926-46EF-99BE-EE91A389D2B1}"/>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84" xr:uid="{8EABB158-5E25-45D9-9D90-BDAFA74BEF5E}"/>
    <cellStyle name="40% - Accent1 2 2 6 2 2 3" xfId="25212" xr:uid="{E83DBC28-4129-497D-BD1A-F8F53C640C2B}"/>
    <cellStyle name="40% - Accent1 2 2 6 2 3" xfId="12566" xr:uid="{FA35FE16-730E-4874-8899-ADD9B1ED13CF}"/>
    <cellStyle name="40% - Accent1 2 2 6 2 4" xfId="20995" xr:uid="{A7EB27F2-6B20-4F12-ABC1-E00D60EC35B1}"/>
    <cellStyle name="40% - Accent1 2 2 6 3" xfId="6210" xr:uid="{00000000-0005-0000-0000-0000E7030000}"/>
    <cellStyle name="40% - Accent1 2 2 6 3 2" xfId="14639" xr:uid="{5E1E035B-D18F-466B-8D7A-8EDDE9E8B958}"/>
    <cellStyle name="40% - Accent1 2 2 6 3 3" xfId="23067" xr:uid="{028B1917-7D1D-4634-B503-EF7AA659D983}"/>
    <cellStyle name="40% - Accent1 2 2 6 4" xfId="10421" xr:uid="{4B0AE5D1-6CB0-4534-A7EA-80A087D6F7FD}"/>
    <cellStyle name="40% - Accent1 2 2 6 5" xfId="18850" xr:uid="{9C3F7D46-B0EA-47F8-93CA-94ABA16A94C7}"/>
    <cellStyle name="40% - Accent1 2 2 7" xfId="2315" xr:uid="{00000000-0005-0000-0000-0000E8030000}"/>
    <cellStyle name="40% - Accent1 2 2 7 2" xfId="6623" xr:uid="{00000000-0005-0000-0000-0000E9030000}"/>
    <cellStyle name="40% - Accent1 2 2 7 2 2" xfId="15052" xr:uid="{22725242-E7EC-4A43-918C-FCAE8FD43EEB}"/>
    <cellStyle name="40% - Accent1 2 2 7 2 3" xfId="23480" xr:uid="{89A6EBAE-83A8-411D-9775-E3941F91A357}"/>
    <cellStyle name="40% - Accent1 2 2 7 3" xfId="10834" xr:uid="{8FAF528F-6511-448D-A1AD-538270AB1D39}"/>
    <cellStyle name="40% - Accent1 2 2 7 4" xfId="19263" xr:uid="{8D4B9DFA-7332-4D96-8878-9C6750ADFD5A}"/>
    <cellStyle name="40% - Accent1 2 2 8" xfId="4557" xr:uid="{00000000-0005-0000-0000-0000EA030000}"/>
    <cellStyle name="40% - Accent1 2 2 8 2" xfId="12986" xr:uid="{69043616-156B-4E49-835E-C32601145C75}"/>
    <cellStyle name="40% - Accent1 2 2 8 3" xfId="21414" xr:uid="{00C1B49F-509D-4F92-A14A-EAC146A45F18}"/>
    <cellStyle name="40% - Accent1 2 2 9" xfId="8768" xr:uid="{C3728BDE-E521-4F95-8A9D-DBEA0B4332BA}"/>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7" xr:uid="{46B6774C-D7D2-4589-A522-C26791B99B1A}"/>
    <cellStyle name="40% - Accent1 2 3 2 2 2 3" xfId="23975" xr:uid="{8B83A0AC-A1F3-4F9E-A065-1418B3C15F33}"/>
    <cellStyle name="40% - Accent1 2 3 2 2 3" xfId="11329" xr:uid="{3D8F2E3E-7064-4F3A-A87E-808214578422}"/>
    <cellStyle name="40% - Accent1 2 3 2 2 4" xfId="19758" xr:uid="{63BDCC0F-E768-45DE-A220-0887E7DC8319}"/>
    <cellStyle name="40% - Accent1 2 3 2 3" xfId="4973" xr:uid="{00000000-0005-0000-0000-0000EF030000}"/>
    <cellStyle name="40% - Accent1 2 3 2 3 2" xfId="13402" xr:uid="{516A448A-2ADF-4FAA-B938-08B6C4BEA2E7}"/>
    <cellStyle name="40% - Accent1 2 3 2 3 3" xfId="21830" xr:uid="{77E14A29-E026-4046-B60A-A04002C2CA21}"/>
    <cellStyle name="40% - Accent1 2 3 2 4" xfId="9184" xr:uid="{EDF9C1FA-6655-4222-8A50-7AFECE0156DE}"/>
    <cellStyle name="40% - Accent1 2 3 2 5" xfId="17613" xr:uid="{B6BE27E8-7CB4-4B72-AE40-7DD9E87645CD}"/>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60" xr:uid="{37E3EA55-BF33-4DBC-97E3-B77830BC3B7F}"/>
    <cellStyle name="40% - Accent1 2 3 3 2 2 3" xfId="24388" xr:uid="{75131108-B6CD-49F9-9A09-DA43C8E53878}"/>
    <cellStyle name="40% - Accent1 2 3 3 2 3" xfId="11742" xr:uid="{172678B9-0551-46AC-818C-B4D4E55C1CA0}"/>
    <cellStyle name="40% - Accent1 2 3 3 2 4" xfId="20171" xr:uid="{8957D6C0-0A80-4059-91DB-0AEED5215EAA}"/>
    <cellStyle name="40% - Accent1 2 3 3 3" xfId="5386" xr:uid="{00000000-0005-0000-0000-0000F3030000}"/>
    <cellStyle name="40% - Accent1 2 3 3 3 2" xfId="13815" xr:uid="{6A3137EF-C588-49A7-AC81-FFFBCC59A053}"/>
    <cellStyle name="40% - Accent1 2 3 3 3 3" xfId="22243" xr:uid="{FF373FE8-7A93-42BD-8B58-4C2FB57D174C}"/>
    <cellStyle name="40% - Accent1 2 3 3 4" xfId="9597" xr:uid="{8C0B0CD6-CA5B-40EC-A57B-9A7C87C66ACE}"/>
    <cellStyle name="40% - Accent1 2 3 3 5" xfId="18026" xr:uid="{01F820CE-5FE8-466A-B5F7-4451D48F6378}"/>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73" xr:uid="{2337B7FF-8E0C-4FCB-9255-ED35C304A610}"/>
    <cellStyle name="40% - Accent1 2 3 4 2 2 3" xfId="24801" xr:uid="{8D05FB65-C9DE-4E3A-B3DC-4509F52C5039}"/>
    <cellStyle name="40% - Accent1 2 3 4 2 3" xfId="12155" xr:uid="{79E48DAF-BC07-4921-8135-F4F130F11D9F}"/>
    <cellStyle name="40% - Accent1 2 3 4 2 4" xfId="20584" xr:uid="{AE3CA6D6-5592-4634-BF6F-6B0EE9FC3CE5}"/>
    <cellStyle name="40% - Accent1 2 3 4 3" xfId="5799" xr:uid="{00000000-0005-0000-0000-0000F7030000}"/>
    <cellStyle name="40% - Accent1 2 3 4 3 2" xfId="14228" xr:uid="{288ACFA1-A29E-4E00-A7D2-D79B6D10AB2D}"/>
    <cellStyle name="40% - Accent1 2 3 4 3 3" xfId="22656" xr:uid="{4849FF36-8A69-437E-97B9-578AB5CD96AC}"/>
    <cellStyle name="40% - Accent1 2 3 4 4" xfId="10010" xr:uid="{C7317F79-C398-4975-A8AD-37144D45D6B4}"/>
    <cellStyle name="40% - Accent1 2 3 4 5" xfId="18439" xr:uid="{B7808F5A-0081-421C-A0DD-C75C39591A7E}"/>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86" xr:uid="{D2F9BEB1-2BA0-4036-B0A5-073FE06510BC}"/>
    <cellStyle name="40% - Accent1 2 3 5 2 2 3" xfId="25214" xr:uid="{58330AC7-CFF4-46D5-B4EF-7D3AF4E56291}"/>
    <cellStyle name="40% - Accent1 2 3 5 2 3" xfId="12568" xr:uid="{A2140441-E4CB-4989-A7C3-1F1F740AEDE5}"/>
    <cellStyle name="40% - Accent1 2 3 5 2 4" xfId="20997" xr:uid="{E7B2E715-E51F-4068-B717-C1C3ED1EAE81}"/>
    <cellStyle name="40% - Accent1 2 3 5 3" xfId="6212" xr:uid="{00000000-0005-0000-0000-0000FB030000}"/>
    <cellStyle name="40% - Accent1 2 3 5 3 2" xfId="14641" xr:uid="{2BF045D4-F476-402B-B8E5-DEA81B36AAAB}"/>
    <cellStyle name="40% - Accent1 2 3 5 3 3" xfId="23069" xr:uid="{463F97CF-DA1D-499A-B8CE-3B5CFFB2AEED}"/>
    <cellStyle name="40% - Accent1 2 3 5 4" xfId="10423" xr:uid="{EBAB6A78-5908-4BEB-955F-3A3EADC2B4EB}"/>
    <cellStyle name="40% - Accent1 2 3 5 5" xfId="18852" xr:uid="{52316699-9E29-4206-8BC4-FE1E5D504468}"/>
    <cellStyle name="40% - Accent1 2 3 6" xfId="2317" xr:uid="{00000000-0005-0000-0000-0000FC030000}"/>
    <cellStyle name="40% - Accent1 2 3 6 2" xfId="6625" xr:uid="{00000000-0005-0000-0000-0000FD030000}"/>
    <cellStyle name="40% - Accent1 2 3 6 2 2" xfId="15054" xr:uid="{8831C870-DE60-421C-9CF4-365036E7398D}"/>
    <cellStyle name="40% - Accent1 2 3 6 2 3" xfId="23482" xr:uid="{4CCBD8EE-6519-466F-A963-12307121A9E0}"/>
    <cellStyle name="40% - Accent1 2 3 6 3" xfId="10836" xr:uid="{29C5FC6E-A84C-4DA6-A7DA-F096275E1077}"/>
    <cellStyle name="40% - Accent1 2 3 6 4" xfId="19265" xr:uid="{613F8CDB-AEB1-4203-94B0-9F17EB82D0EB}"/>
    <cellStyle name="40% - Accent1 2 3 7" xfId="4559" xr:uid="{00000000-0005-0000-0000-0000FE030000}"/>
    <cellStyle name="40% - Accent1 2 3 7 2" xfId="12988" xr:uid="{36ACDD13-EB04-48C4-B447-BCF79426D182}"/>
    <cellStyle name="40% - Accent1 2 3 7 3" xfId="21416" xr:uid="{5CA3F78A-8470-488D-B7FC-D68CD5567BB0}"/>
    <cellStyle name="40% - Accent1 2 3 8" xfId="8770" xr:uid="{430275CD-5178-4D42-8EAD-45C81FC03B82}"/>
    <cellStyle name="40% - Accent1 2 3 9" xfId="17199" xr:uid="{10D6017A-1ABC-4EF1-BD58-FBACF30461EA}"/>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44" xr:uid="{D9411A33-35CF-4CA7-89D7-2A659EA4A51B}"/>
    <cellStyle name="40% - Accent1 2 4 2 2 3" xfId="23972" xr:uid="{D1936BC6-04CB-458E-98FB-B497CC854F78}"/>
    <cellStyle name="40% - Accent1 2 4 2 3" xfId="11326" xr:uid="{1014B346-C6AC-4690-A9B7-D65B1BD6C23A}"/>
    <cellStyle name="40% - Accent1 2 4 2 4" xfId="19755" xr:uid="{153761EA-D1C3-49EE-8A51-9D7693AE7D4E}"/>
    <cellStyle name="40% - Accent1 2 4 3" xfId="4970" xr:uid="{00000000-0005-0000-0000-000002040000}"/>
    <cellStyle name="40% - Accent1 2 4 3 2" xfId="13399" xr:uid="{879C2EF6-8CDD-4327-8F83-DA5632152BBE}"/>
    <cellStyle name="40% - Accent1 2 4 3 3" xfId="21827" xr:uid="{DECE6792-2E87-4B57-A1B7-AECDCAE4E0B6}"/>
    <cellStyle name="40% - Accent1 2 4 4" xfId="9181" xr:uid="{1C77949B-86EF-466D-8953-F680468DAF98}"/>
    <cellStyle name="40% - Accent1 2 4 5" xfId="17610" xr:uid="{283F592A-3BD4-4BB0-B778-847BA1EF5E2F}"/>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7" xr:uid="{E095E052-B1C4-4136-AAF2-7356FDB3AE41}"/>
    <cellStyle name="40% - Accent1 2 5 2 2 3" xfId="24385" xr:uid="{9A0E223A-1A21-4ACF-B911-CBFDE84C3DC2}"/>
    <cellStyle name="40% - Accent1 2 5 2 3" xfId="11739" xr:uid="{B2B3322F-785A-4D46-A854-2B323A78BE2C}"/>
    <cellStyle name="40% - Accent1 2 5 2 4" xfId="20168" xr:uid="{9FD385E6-282C-4551-8D55-509DDC8DE61C}"/>
    <cellStyle name="40% - Accent1 2 5 3" xfId="5383" xr:uid="{00000000-0005-0000-0000-000006040000}"/>
    <cellStyle name="40% - Accent1 2 5 3 2" xfId="13812" xr:uid="{10F1AA20-5C50-469B-A661-1CDC4933B435}"/>
    <cellStyle name="40% - Accent1 2 5 3 3" xfId="22240" xr:uid="{5C35A6B8-7752-4537-877D-C510F46FD938}"/>
    <cellStyle name="40% - Accent1 2 5 4" xfId="9594" xr:uid="{1170206F-23F1-45A1-B3C8-B398C8BDF734}"/>
    <cellStyle name="40% - Accent1 2 5 5" xfId="18023" xr:uid="{E5AA85A5-5A0F-478C-8446-5DAC4A6F542F}"/>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70" xr:uid="{FF220566-7B37-42EA-AADC-B5078679880E}"/>
    <cellStyle name="40% - Accent1 2 6 2 2 3" xfId="24798" xr:uid="{1DB24A22-860E-40AB-92B9-9B27B62A0D47}"/>
    <cellStyle name="40% - Accent1 2 6 2 3" xfId="12152" xr:uid="{0A70CE83-9955-4E41-B2BE-6D9F00242227}"/>
    <cellStyle name="40% - Accent1 2 6 2 4" xfId="20581" xr:uid="{E7187474-3DC8-4C68-BFE3-FD47835FF1CD}"/>
    <cellStyle name="40% - Accent1 2 6 3" xfId="5796" xr:uid="{00000000-0005-0000-0000-00000A040000}"/>
    <cellStyle name="40% - Accent1 2 6 3 2" xfId="14225" xr:uid="{A7CC4C6C-8E8E-4FBC-BA62-2E778D30D47D}"/>
    <cellStyle name="40% - Accent1 2 6 3 3" xfId="22653" xr:uid="{D861CF68-8420-46A3-A16D-3D6BE29723B7}"/>
    <cellStyle name="40% - Accent1 2 6 4" xfId="10007" xr:uid="{654AC45C-0060-4D87-AF74-49221889348E}"/>
    <cellStyle name="40% - Accent1 2 6 5" xfId="18436" xr:uid="{3BA63137-38CB-4B30-A339-759FD49A8C45}"/>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83" xr:uid="{67527CA7-B320-45D2-BA5B-107DF1BD02BD}"/>
    <cellStyle name="40% - Accent1 2 7 2 2 3" xfId="25211" xr:uid="{14428B1A-87AB-4BE3-B6BD-AB6EA43BEAFF}"/>
    <cellStyle name="40% - Accent1 2 7 2 3" xfId="12565" xr:uid="{89EADA05-AD06-4C92-A677-93A1DEE510DE}"/>
    <cellStyle name="40% - Accent1 2 7 2 4" xfId="20994" xr:uid="{6EBA4F9F-5F82-4D5D-B5A3-CD308D9CFA92}"/>
    <cellStyle name="40% - Accent1 2 7 3" xfId="6209" xr:uid="{00000000-0005-0000-0000-00000E040000}"/>
    <cellStyle name="40% - Accent1 2 7 3 2" xfId="14638" xr:uid="{56A1999C-7F6E-41F3-AEEC-4174FA46CE3F}"/>
    <cellStyle name="40% - Accent1 2 7 3 3" xfId="23066" xr:uid="{1C5A1ED5-5FB2-451E-BF91-F3E041BD087A}"/>
    <cellStyle name="40% - Accent1 2 7 4" xfId="10420" xr:uid="{9CC6AB63-11A1-4778-B2F4-64F628BD4C8C}"/>
    <cellStyle name="40% - Accent1 2 7 5" xfId="18849" xr:uid="{34D16445-6273-4766-9FBC-DA9DB5E70FE1}"/>
    <cellStyle name="40% - Accent1 2 8" xfId="2314" xr:uid="{00000000-0005-0000-0000-00000F040000}"/>
    <cellStyle name="40% - Accent1 2 8 2" xfId="6622" xr:uid="{00000000-0005-0000-0000-000010040000}"/>
    <cellStyle name="40% - Accent1 2 8 2 2" xfId="15051" xr:uid="{D6EA29C2-D681-4822-90AD-F3F787AEF8F2}"/>
    <cellStyle name="40% - Accent1 2 8 2 3" xfId="23479" xr:uid="{10B619A1-DDD8-4D26-A9DC-55AFC3334527}"/>
    <cellStyle name="40% - Accent1 2 8 3" xfId="10833" xr:uid="{B8D5DCF6-3228-4F8F-BBE8-42E0A97C960B}"/>
    <cellStyle name="40% - Accent1 2 8 4" xfId="19262" xr:uid="{0D93E48A-E0EC-401C-93C6-E4C9AF8AEE53}"/>
    <cellStyle name="40% - Accent1 2 9" xfId="4556" xr:uid="{00000000-0005-0000-0000-000011040000}"/>
    <cellStyle name="40% - Accent1 2 9 2" xfId="12985" xr:uid="{DAF25A31-3AED-4C30-B53F-D322401C06D9}"/>
    <cellStyle name="40% - Accent1 2 9 3" xfId="21413" xr:uid="{4DB782C0-EFE4-4BA2-A83C-A448AD52156E}"/>
    <cellStyle name="40% - Accent1 3" xfId="54" xr:uid="{00000000-0005-0000-0000-000012040000}"/>
    <cellStyle name="40% - Accent1 3 10" xfId="17200" xr:uid="{D6B83B1A-8850-4D52-A65F-7726B4317F72}"/>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9" xr:uid="{32C52B1E-11CB-4E82-B5A9-B4E0576EC3F4}"/>
    <cellStyle name="40% - Accent1 3 2 2 2 2 3" xfId="23977" xr:uid="{E4F11938-EA2D-41EB-9A35-7C49E8A0562D}"/>
    <cellStyle name="40% - Accent1 3 2 2 2 3" xfId="11331" xr:uid="{03364E8C-5007-48D3-8617-714557894303}"/>
    <cellStyle name="40% - Accent1 3 2 2 2 4" xfId="19760" xr:uid="{64F495A2-143C-4038-B24B-EC8209498FE8}"/>
    <cellStyle name="40% - Accent1 3 2 2 3" xfId="4975" xr:uid="{00000000-0005-0000-0000-000017040000}"/>
    <cellStyle name="40% - Accent1 3 2 2 3 2" xfId="13404" xr:uid="{5EA09DD1-512E-42BF-B381-D250F1FAC5C0}"/>
    <cellStyle name="40% - Accent1 3 2 2 3 3" xfId="21832" xr:uid="{19618C7B-4FCC-4DA8-BBD1-3963F2890ED7}"/>
    <cellStyle name="40% - Accent1 3 2 2 4" xfId="9186" xr:uid="{BBF7063A-9A4B-4D49-AB16-86F2988AB224}"/>
    <cellStyle name="40% - Accent1 3 2 2 5" xfId="17615" xr:uid="{4D70DA30-87F0-4AFA-8071-3E43E7E5EFF6}"/>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62" xr:uid="{1E33059E-1C36-4BC7-9ADC-1C0AAFC2F036}"/>
    <cellStyle name="40% - Accent1 3 2 3 2 2 3" xfId="24390" xr:uid="{026581F2-DD73-4D89-B288-62C699264521}"/>
    <cellStyle name="40% - Accent1 3 2 3 2 3" xfId="11744" xr:uid="{32AEF3F5-EB85-490C-92E4-F04E2E2612B9}"/>
    <cellStyle name="40% - Accent1 3 2 3 2 4" xfId="20173" xr:uid="{F8B9FBE3-4D87-4CC4-8945-D9C86792834D}"/>
    <cellStyle name="40% - Accent1 3 2 3 3" xfId="5388" xr:uid="{00000000-0005-0000-0000-00001B040000}"/>
    <cellStyle name="40% - Accent1 3 2 3 3 2" xfId="13817" xr:uid="{5C5E3DB1-0F6E-4FFB-991B-F7E6BB5CA13F}"/>
    <cellStyle name="40% - Accent1 3 2 3 3 3" xfId="22245" xr:uid="{785F450E-4706-460A-8562-2258AE589CD7}"/>
    <cellStyle name="40% - Accent1 3 2 3 4" xfId="9599" xr:uid="{243E7E55-5BD8-4484-AC7E-2548EF624A95}"/>
    <cellStyle name="40% - Accent1 3 2 3 5" xfId="18028" xr:uid="{FA8ED3C1-7BBE-4869-B66C-BFF1C641ECDD}"/>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75" xr:uid="{A26A5593-B033-4937-A37A-1A40711F8BC5}"/>
    <cellStyle name="40% - Accent1 3 2 4 2 2 3" xfId="24803" xr:uid="{D8D5002B-FEF8-47B7-AB16-25C7E9AB41E7}"/>
    <cellStyle name="40% - Accent1 3 2 4 2 3" xfId="12157" xr:uid="{E8A1CCD4-AAE2-4A05-B362-0F53F2234F09}"/>
    <cellStyle name="40% - Accent1 3 2 4 2 4" xfId="20586" xr:uid="{D1CE2F14-D81B-419A-BA2C-2D4C549E92B7}"/>
    <cellStyle name="40% - Accent1 3 2 4 3" xfId="5801" xr:uid="{00000000-0005-0000-0000-00001F040000}"/>
    <cellStyle name="40% - Accent1 3 2 4 3 2" xfId="14230" xr:uid="{8B040EC3-56E8-4BF0-990B-ABCB3305AC43}"/>
    <cellStyle name="40% - Accent1 3 2 4 3 3" xfId="22658" xr:uid="{718161D0-2998-411F-8E29-47394B77FBA3}"/>
    <cellStyle name="40% - Accent1 3 2 4 4" xfId="10012" xr:uid="{B1EFD5D1-2464-44DC-96A8-9654E4DC8F43}"/>
    <cellStyle name="40% - Accent1 3 2 4 5" xfId="18441" xr:uid="{94EA462E-407B-4560-8C1D-FD5C834D7F27}"/>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8" xr:uid="{649BBBA3-D6FF-4922-B28C-DBB1E0C990A0}"/>
    <cellStyle name="40% - Accent1 3 2 5 2 2 3" xfId="25216" xr:uid="{02D76B21-986A-40BC-9146-1FE753F63817}"/>
    <cellStyle name="40% - Accent1 3 2 5 2 3" xfId="12570" xr:uid="{22BC11E6-F2C0-43D0-AAB1-D7B33731E329}"/>
    <cellStyle name="40% - Accent1 3 2 5 2 4" xfId="20999" xr:uid="{32B51FD8-40D0-494F-8A9F-521F8637FFD0}"/>
    <cellStyle name="40% - Accent1 3 2 5 3" xfId="6214" xr:uid="{00000000-0005-0000-0000-000023040000}"/>
    <cellStyle name="40% - Accent1 3 2 5 3 2" xfId="14643" xr:uid="{9C563AEE-0D12-4F3D-8130-D427B8FF7D43}"/>
    <cellStyle name="40% - Accent1 3 2 5 3 3" xfId="23071" xr:uid="{8CEE9C7F-13AA-47DD-A593-A4B1A35CCD3A}"/>
    <cellStyle name="40% - Accent1 3 2 5 4" xfId="10425" xr:uid="{5C52B491-D309-4869-8ED1-46B450CBB231}"/>
    <cellStyle name="40% - Accent1 3 2 5 5" xfId="18854" xr:uid="{DCF857DC-D2C6-45FE-AA11-FDE30115E3D9}"/>
    <cellStyle name="40% - Accent1 3 2 6" xfId="2319" xr:uid="{00000000-0005-0000-0000-000024040000}"/>
    <cellStyle name="40% - Accent1 3 2 6 2" xfId="6627" xr:uid="{00000000-0005-0000-0000-000025040000}"/>
    <cellStyle name="40% - Accent1 3 2 6 2 2" xfId="15056" xr:uid="{B2495D55-52FC-4F4B-A84F-FFECC22A4CE7}"/>
    <cellStyle name="40% - Accent1 3 2 6 2 3" xfId="23484" xr:uid="{C0073E8E-C188-4D09-9E3E-3A7A42A70E25}"/>
    <cellStyle name="40% - Accent1 3 2 6 3" xfId="10838" xr:uid="{4464E2E8-B4A7-45F3-9536-F32FCA000E6B}"/>
    <cellStyle name="40% - Accent1 3 2 6 4" xfId="19267" xr:uid="{5595C38E-D8F0-4A6E-A21A-35997BB7D848}"/>
    <cellStyle name="40% - Accent1 3 2 7" xfId="4561" xr:uid="{00000000-0005-0000-0000-000026040000}"/>
    <cellStyle name="40% - Accent1 3 2 7 2" xfId="12990" xr:uid="{3944FA48-A1FF-4B31-B929-B447BD3AD6CA}"/>
    <cellStyle name="40% - Accent1 3 2 7 3" xfId="21418" xr:uid="{C7853B0B-76B6-4161-ABBC-A2FD048B71F7}"/>
    <cellStyle name="40% - Accent1 3 2 8" xfId="8772" xr:uid="{352BAD8A-58F7-4CFC-83DB-06D3EAE93655}"/>
    <cellStyle name="40% - Accent1 3 2 9" xfId="17201" xr:uid="{AD051D49-0483-44D1-BAE2-0C5253412A60}"/>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8" xr:uid="{5725A56E-730E-4B57-9A0A-C42034BEFCEE}"/>
    <cellStyle name="40% - Accent1 3 3 2 2 3" xfId="23976" xr:uid="{813A5DE9-6447-4A0C-B1ED-F673E134C28A}"/>
    <cellStyle name="40% - Accent1 3 3 2 3" xfId="11330" xr:uid="{BE80512C-4826-4228-A77B-6F193529ADE3}"/>
    <cellStyle name="40% - Accent1 3 3 2 4" xfId="19759" xr:uid="{40029BE2-5754-41F5-88E2-1FB95C0766DC}"/>
    <cellStyle name="40% - Accent1 3 3 3" xfId="4974" xr:uid="{00000000-0005-0000-0000-00002A040000}"/>
    <cellStyle name="40% - Accent1 3 3 3 2" xfId="13403" xr:uid="{DB4C98C7-D7B7-4707-8696-F5E6318FFFE3}"/>
    <cellStyle name="40% - Accent1 3 3 3 3" xfId="21831" xr:uid="{8445DF52-BA6E-45EE-8EFA-C7DBF5C335F0}"/>
    <cellStyle name="40% - Accent1 3 3 4" xfId="9185" xr:uid="{6DA8BEE1-C41E-44D8-AC08-FE556719C607}"/>
    <cellStyle name="40% - Accent1 3 3 5" xfId="17614" xr:uid="{D54C99C6-A5C8-4650-9F67-85FC9E345312}"/>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61" xr:uid="{ACD20FB4-4599-401B-868A-2C781D2DED65}"/>
    <cellStyle name="40% - Accent1 3 4 2 2 3" xfId="24389" xr:uid="{DDE230AC-B638-4DBD-92A1-8DC088B8633D}"/>
    <cellStyle name="40% - Accent1 3 4 2 3" xfId="11743" xr:uid="{2BF59484-C995-4CC8-916E-34C2376E88D5}"/>
    <cellStyle name="40% - Accent1 3 4 2 4" xfId="20172" xr:uid="{BB85A563-D4C9-48BC-A044-E24C14301A74}"/>
    <cellStyle name="40% - Accent1 3 4 3" xfId="5387" xr:uid="{00000000-0005-0000-0000-00002E040000}"/>
    <cellStyle name="40% - Accent1 3 4 3 2" xfId="13816" xr:uid="{25AE7C9E-1E22-461F-8CCF-88E384F6F291}"/>
    <cellStyle name="40% - Accent1 3 4 3 3" xfId="22244" xr:uid="{0300C4B3-7720-4B58-A425-12FF917232B0}"/>
    <cellStyle name="40% - Accent1 3 4 4" xfId="9598" xr:uid="{3F705CB6-91C8-4E15-A377-3459EABACDE5}"/>
    <cellStyle name="40% - Accent1 3 4 5" xfId="18027" xr:uid="{73D0AB74-C025-4791-830C-D11C29CDE43A}"/>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74" xr:uid="{07236B39-D6D7-479B-B918-7C16972515AD}"/>
    <cellStyle name="40% - Accent1 3 5 2 2 3" xfId="24802" xr:uid="{706BC1C8-293C-4EB3-9C79-C55D28C9FAE1}"/>
    <cellStyle name="40% - Accent1 3 5 2 3" xfId="12156" xr:uid="{3BECD5FD-B6D3-4802-B21A-A497C106EDE4}"/>
    <cellStyle name="40% - Accent1 3 5 2 4" xfId="20585" xr:uid="{86A7D919-B27E-4619-A8F5-BFCEDD102AA4}"/>
    <cellStyle name="40% - Accent1 3 5 3" xfId="5800" xr:uid="{00000000-0005-0000-0000-000032040000}"/>
    <cellStyle name="40% - Accent1 3 5 3 2" xfId="14229" xr:uid="{4F4EDF80-BBF1-4756-BBE1-757A6CAC218B}"/>
    <cellStyle name="40% - Accent1 3 5 3 3" xfId="22657" xr:uid="{0939E9F3-3E9E-4360-AD98-CD2C7BF2AB8B}"/>
    <cellStyle name="40% - Accent1 3 5 4" xfId="10011" xr:uid="{16F9EAD7-0393-4D50-B8D4-CA4716DBD26E}"/>
    <cellStyle name="40% - Accent1 3 5 5" xfId="18440" xr:uid="{68727CCC-42A5-4F72-8809-20E7FF056523}"/>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7" xr:uid="{BF921A2D-03B0-4E4B-B968-8D8533B676D6}"/>
    <cellStyle name="40% - Accent1 3 6 2 2 3" xfId="25215" xr:uid="{C24C9BDC-928C-483A-A6BF-57B983AA27EC}"/>
    <cellStyle name="40% - Accent1 3 6 2 3" xfId="12569" xr:uid="{A936316C-6EF4-47BD-A6C5-8FBD1C34330F}"/>
    <cellStyle name="40% - Accent1 3 6 2 4" xfId="20998" xr:uid="{831BEE9C-5A04-4280-B76F-4E5A9D56147F}"/>
    <cellStyle name="40% - Accent1 3 6 3" xfId="6213" xr:uid="{00000000-0005-0000-0000-000036040000}"/>
    <cellStyle name="40% - Accent1 3 6 3 2" xfId="14642" xr:uid="{EDFA42C1-5401-4AB3-A5FD-C8BC052511A1}"/>
    <cellStyle name="40% - Accent1 3 6 3 3" xfId="23070" xr:uid="{4231499A-E9C9-4AD6-B4FD-1615864FDD50}"/>
    <cellStyle name="40% - Accent1 3 6 4" xfId="10424" xr:uid="{AC722A99-D7CC-43A1-8C10-6440FDD4450C}"/>
    <cellStyle name="40% - Accent1 3 6 5" xfId="18853" xr:uid="{8A77D904-4ECF-47C7-B27D-E7F02787BD0E}"/>
    <cellStyle name="40% - Accent1 3 7" xfId="2318" xr:uid="{00000000-0005-0000-0000-000037040000}"/>
    <cellStyle name="40% - Accent1 3 7 2" xfId="6626" xr:uid="{00000000-0005-0000-0000-000038040000}"/>
    <cellStyle name="40% - Accent1 3 7 2 2" xfId="15055" xr:uid="{8ACB8AAF-EC12-4712-9C63-9ECF363E6FC3}"/>
    <cellStyle name="40% - Accent1 3 7 2 3" xfId="23483" xr:uid="{F4AEA6CC-A9F6-46E3-B4E6-05F5D862E769}"/>
    <cellStyle name="40% - Accent1 3 7 3" xfId="10837" xr:uid="{26C9B9AA-E88E-42D4-A9CF-73BDFF6A1674}"/>
    <cellStyle name="40% - Accent1 3 7 4" xfId="19266" xr:uid="{0BA937BA-BCA6-430D-B6E3-44A5FD85C5F0}"/>
    <cellStyle name="40% - Accent1 3 8" xfId="4560" xr:uid="{00000000-0005-0000-0000-000039040000}"/>
    <cellStyle name="40% - Accent1 3 8 2" xfId="12989" xr:uid="{7353481C-7176-46BC-A0DC-B9904A2CFA57}"/>
    <cellStyle name="40% - Accent1 3 8 3" xfId="21417" xr:uid="{00D40D74-3D9A-4435-AFBB-8BE07CEB6065}"/>
    <cellStyle name="40% - Accent1 3 9" xfId="8771" xr:uid="{4949694D-3563-4707-8CA7-474189D98EA5}"/>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50" xr:uid="{ED56EF8B-2852-49DC-A92E-BF70DC55258A}"/>
    <cellStyle name="40% - Accent1 4 2 2 2 3" xfId="23978" xr:uid="{3F28C84C-A37F-408B-AE5C-2158D01ADC8A}"/>
    <cellStyle name="40% - Accent1 4 2 2 3" xfId="11332" xr:uid="{C1E0D1AB-C6FE-4F36-B3CC-98E4F8226DA2}"/>
    <cellStyle name="40% - Accent1 4 2 2 4" xfId="19761" xr:uid="{B7762565-4CAF-4856-AD9E-D7F152D882A1}"/>
    <cellStyle name="40% - Accent1 4 2 3" xfId="4976" xr:uid="{00000000-0005-0000-0000-00003E040000}"/>
    <cellStyle name="40% - Accent1 4 2 3 2" xfId="13405" xr:uid="{2F14B583-700A-4DCB-8716-BEAE804F70D2}"/>
    <cellStyle name="40% - Accent1 4 2 3 3" xfId="21833" xr:uid="{82FAF556-8245-4D1D-A338-1FB9DB9860B4}"/>
    <cellStyle name="40% - Accent1 4 2 4" xfId="9187" xr:uid="{20FAB76D-036F-4743-8EA0-917886C96067}"/>
    <cellStyle name="40% - Accent1 4 2 5" xfId="17616" xr:uid="{4FB58D7E-5540-4199-A3D7-633F23CD78FF}"/>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63" xr:uid="{A930857A-6B9D-4FA4-BA42-81604FF71618}"/>
    <cellStyle name="40% - Accent1 4 3 2 2 3" xfId="24391" xr:uid="{63B4502E-F9BB-44D2-97DA-23391A204971}"/>
    <cellStyle name="40% - Accent1 4 3 2 3" xfId="11745" xr:uid="{A869EB3F-2D0C-4CCF-8A90-70942B6E9446}"/>
    <cellStyle name="40% - Accent1 4 3 2 4" xfId="20174" xr:uid="{FDF037EE-5F3B-4618-AE7E-182860ED80C6}"/>
    <cellStyle name="40% - Accent1 4 3 3" xfId="5389" xr:uid="{00000000-0005-0000-0000-000042040000}"/>
    <cellStyle name="40% - Accent1 4 3 3 2" xfId="13818" xr:uid="{467B8D51-99C2-4BC0-9012-DF798A57B6EE}"/>
    <cellStyle name="40% - Accent1 4 3 3 3" xfId="22246" xr:uid="{52A4A1B5-8FF5-4429-BD7E-9865333FA00F}"/>
    <cellStyle name="40% - Accent1 4 3 4" xfId="9600" xr:uid="{6FB87A3B-518D-4985-A433-8EB0CCCA701C}"/>
    <cellStyle name="40% - Accent1 4 3 5" xfId="18029" xr:uid="{783BC33B-F5C4-4221-91C6-F8CBA4B700F1}"/>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76" xr:uid="{E92B1431-B5EF-4820-8A66-DFEF9B04864A}"/>
    <cellStyle name="40% - Accent1 4 4 2 2 3" xfId="24804" xr:uid="{A0315A4C-6913-4543-BA42-9C9B04D39F50}"/>
    <cellStyle name="40% - Accent1 4 4 2 3" xfId="12158" xr:uid="{8280F470-D8CF-424E-B5E7-61A5553E9D1D}"/>
    <cellStyle name="40% - Accent1 4 4 2 4" xfId="20587" xr:uid="{E7658746-5B2A-4546-9DB6-C75AA4F7166D}"/>
    <cellStyle name="40% - Accent1 4 4 3" xfId="5802" xr:uid="{00000000-0005-0000-0000-000046040000}"/>
    <cellStyle name="40% - Accent1 4 4 3 2" xfId="14231" xr:uid="{F82AB03B-DE8D-4591-A439-5AE9EF772450}"/>
    <cellStyle name="40% - Accent1 4 4 3 3" xfId="22659" xr:uid="{4C4EC052-60F8-47C8-A452-13D5590BBA74}"/>
    <cellStyle name="40% - Accent1 4 4 4" xfId="10013" xr:uid="{55F37586-6FFB-401E-9F17-4842A2A0D032}"/>
    <cellStyle name="40% - Accent1 4 4 5" xfId="18442" xr:uid="{D1B94769-1316-42D8-8F32-41EF6A2BD995}"/>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9" xr:uid="{790E2788-B01B-4118-97D2-20D9CC4426C1}"/>
    <cellStyle name="40% - Accent1 4 5 2 2 3" xfId="25217" xr:uid="{1E7B591F-0F3F-4E8D-BBB5-9DB5523763B8}"/>
    <cellStyle name="40% - Accent1 4 5 2 3" xfId="12571" xr:uid="{8555DD5E-C9F8-4C36-8F14-AE401E6DCA82}"/>
    <cellStyle name="40% - Accent1 4 5 2 4" xfId="21000" xr:uid="{E720C83D-2432-48AE-A92C-BB41E896230F}"/>
    <cellStyle name="40% - Accent1 4 5 3" xfId="6215" xr:uid="{00000000-0005-0000-0000-00004A040000}"/>
    <cellStyle name="40% - Accent1 4 5 3 2" xfId="14644" xr:uid="{92BB35BF-3042-457E-9506-CEB04BEAB825}"/>
    <cellStyle name="40% - Accent1 4 5 3 3" xfId="23072" xr:uid="{443A43B2-4F9D-4843-B406-4A55F07EE303}"/>
    <cellStyle name="40% - Accent1 4 5 4" xfId="10426" xr:uid="{F22AAFB9-8F9B-40B6-8991-9049B6CB8263}"/>
    <cellStyle name="40% - Accent1 4 5 5" xfId="18855" xr:uid="{0E61633E-1164-4911-A0EB-B8BB1E653608}"/>
    <cellStyle name="40% - Accent1 4 6" xfId="2320" xr:uid="{00000000-0005-0000-0000-00004B040000}"/>
    <cellStyle name="40% - Accent1 4 6 2" xfId="6628" xr:uid="{00000000-0005-0000-0000-00004C040000}"/>
    <cellStyle name="40% - Accent1 4 6 2 2" xfId="15057" xr:uid="{EB3BA87B-A8FE-4A4C-BE45-C21CF3C647D4}"/>
    <cellStyle name="40% - Accent1 4 6 2 3" xfId="23485" xr:uid="{6BEAFEAD-9E93-472D-8857-08AB113BF8BA}"/>
    <cellStyle name="40% - Accent1 4 6 3" xfId="10839" xr:uid="{3CC17B60-2A65-4C9D-A4DC-3C0AEC77FB1A}"/>
    <cellStyle name="40% - Accent1 4 6 4" xfId="19268" xr:uid="{363458E0-7DFD-4523-AE80-8BE2D6EA39C2}"/>
    <cellStyle name="40% - Accent1 4 7" xfId="4562" xr:uid="{00000000-0005-0000-0000-00004D040000}"/>
    <cellStyle name="40% - Accent1 4 7 2" xfId="12991" xr:uid="{C5EA1A5B-F50F-4599-8EA2-13F2B9D9B4B6}"/>
    <cellStyle name="40% - Accent1 4 7 3" xfId="21419" xr:uid="{F62B9F42-2390-4516-94F1-175FB940FA59}"/>
    <cellStyle name="40% - Accent1 4 8" xfId="8773" xr:uid="{FBC8EACF-9E9E-4E97-B9A9-6F20272D799E}"/>
    <cellStyle name="40% - Accent1 4 9" xfId="17202" xr:uid="{46215FBC-F179-473B-9939-7065FD95EC4E}"/>
    <cellStyle name="40% - Accent1 5" xfId="619" xr:uid="{00000000-0005-0000-0000-00004E040000}"/>
    <cellStyle name="40% - Accent1 5 2" xfId="2890" xr:uid="{00000000-0005-0000-0000-00004F040000}"/>
    <cellStyle name="40% - Accent1 5 2 2" xfId="7114" xr:uid="{00000000-0005-0000-0000-000050040000}"/>
    <cellStyle name="40% - Accent1 5 2 2 2" xfId="15543" xr:uid="{3D13C6D1-01C5-4724-8183-9E369DB824D1}"/>
    <cellStyle name="40% - Accent1 5 2 2 3" xfId="23971" xr:uid="{3F038972-9C72-409A-89CA-34B4329C9FD0}"/>
    <cellStyle name="40% - Accent1 5 2 3" xfId="11325" xr:uid="{915B8D5E-EE25-43FE-B2D1-22350E4CD734}"/>
    <cellStyle name="40% - Accent1 5 2 4" xfId="19754" xr:uid="{F60E72CF-DC74-4254-8673-57B10E83D3F3}"/>
    <cellStyle name="40% - Accent1 5 3" xfId="4969" xr:uid="{00000000-0005-0000-0000-000051040000}"/>
    <cellStyle name="40% - Accent1 5 3 2" xfId="13398" xr:uid="{9C9C996C-6E66-490E-B926-2F7BD7168455}"/>
    <cellStyle name="40% - Accent1 5 3 3" xfId="21826" xr:uid="{523BE3FD-36E4-4940-AB5B-53390CF56B2D}"/>
    <cellStyle name="40% - Accent1 5 4" xfId="9180" xr:uid="{4167392C-32D4-4BFE-B92F-AD5B80B6F28D}"/>
    <cellStyle name="40% - Accent1 5 5" xfId="17609" xr:uid="{1B4FDCEC-C71E-4C31-A83F-6892B4114C57}"/>
    <cellStyle name="40% - Accent1 6" xfId="1072" xr:uid="{00000000-0005-0000-0000-000052040000}"/>
    <cellStyle name="40% - Accent1 6 2" xfId="3303" xr:uid="{00000000-0005-0000-0000-000053040000}"/>
    <cellStyle name="40% - Accent1 6 2 2" xfId="7527" xr:uid="{00000000-0005-0000-0000-000054040000}"/>
    <cellStyle name="40% - Accent1 6 2 2 2" xfId="15956" xr:uid="{F991A50E-8599-4945-A84D-02F5090A776B}"/>
    <cellStyle name="40% - Accent1 6 2 2 3" xfId="24384" xr:uid="{FDD2BA55-AC91-43CC-8068-0A95D1F8A3A5}"/>
    <cellStyle name="40% - Accent1 6 2 3" xfId="11738" xr:uid="{8C565BCC-A6C3-40AC-8540-7CF15A13A353}"/>
    <cellStyle name="40% - Accent1 6 2 4" xfId="20167" xr:uid="{84181666-2CF8-4E95-97EC-74B94EAAA862}"/>
    <cellStyle name="40% - Accent1 6 3" xfId="5382" xr:uid="{00000000-0005-0000-0000-000055040000}"/>
    <cellStyle name="40% - Accent1 6 3 2" xfId="13811" xr:uid="{B73DC2AE-B136-43B0-A223-0BF1446F7E49}"/>
    <cellStyle name="40% - Accent1 6 3 3" xfId="22239" xr:uid="{5D865BC4-CB70-4D05-9782-E847AB9AC35B}"/>
    <cellStyle name="40% - Accent1 6 4" xfId="9593" xr:uid="{72F19164-3FEC-4DE4-8823-00EC72AEAA45}"/>
    <cellStyle name="40% - Accent1 6 5" xfId="18022" xr:uid="{867D368C-CBB7-40C4-82AD-7771C4E6FC3D}"/>
    <cellStyle name="40% - Accent1 7" xfId="1486" xr:uid="{00000000-0005-0000-0000-000056040000}"/>
    <cellStyle name="40% - Accent1 7 2" xfId="3716" xr:uid="{00000000-0005-0000-0000-000057040000}"/>
    <cellStyle name="40% - Accent1 7 2 2" xfId="7940" xr:uid="{00000000-0005-0000-0000-000058040000}"/>
    <cellStyle name="40% - Accent1 7 2 2 2" xfId="16369" xr:uid="{29EAE071-2796-47E1-9B50-8B04265E9AB9}"/>
    <cellStyle name="40% - Accent1 7 2 2 3" xfId="24797" xr:uid="{1EC737DA-7DAE-491B-A680-4E04AACEBB29}"/>
    <cellStyle name="40% - Accent1 7 2 3" xfId="12151" xr:uid="{F3C26993-2C0F-466F-B4AB-A764E4BD0438}"/>
    <cellStyle name="40% - Accent1 7 2 4" xfId="20580" xr:uid="{E753945F-5422-497B-BE96-1F58D6DD2708}"/>
    <cellStyle name="40% - Accent1 7 3" xfId="5795" xr:uid="{00000000-0005-0000-0000-000059040000}"/>
    <cellStyle name="40% - Accent1 7 3 2" xfId="14224" xr:uid="{08ABCC53-6432-4FE5-B4B8-480B79E9DA8A}"/>
    <cellStyle name="40% - Accent1 7 3 3" xfId="22652" xr:uid="{D90B7DDB-A5B5-44DF-AF07-4BE2F36357D0}"/>
    <cellStyle name="40% - Accent1 7 4" xfId="10006" xr:uid="{B4358182-65B0-49F1-8371-6EFF915AEC95}"/>
    <cellStyle name="40% - Accent1 7 5" xfId="18435" xr:uid="{18C9DCAA-8F63-4114-A233-09C4B0876DBB}"/>
    <cellStyle name="40% - Accent1 8" xfId="1900" xr:uid="{00000000-0005-0000-0000-00005A040000}"/>
    <cellStyle name="40% - Accent1 8 2" xfId="4129" xr:uid="{00000000-0005-0000-0000-00005B040000}"/>
    <cellStyle name="40% - Accent1 8 2 2" xfId="8353" xr:uid="{00000000-0005-0000-0000-00005C040000}"/>
    <cellStyle name="40% - Accent1 8 2 2 2" xfId="16782" xr:uid="{9B618035-A973-4032-B27E-9A523342BC1E}"/>
    <cellStyle name="40% - Accent1 8 2 2 3" xfId="25210" xr:uid="{3FA4B352-A358-46AD-8025-6071635B46BE}"/>
    <cellStyle name="40% - Accent1 8 2 3" xfId="12564" xr:uid="{BA5CEB8B-DEF3-4BD4-A9A8-ACEF83C4D785}"/>
    <cellStyle name="40% - Accent1 8 2 4" xfId="20993" xr:uid="{64A2E3E4-ABA3-4AA6-9B97-4FD522BA6330}"/>
    <cellStyle name="40% - Accent1 8 3" xfId="6208" xr:uid="{00000000-0005-0000-0000-00005D040000}"/>
    <cellStyle name="40% - Accent1 8 3 2" xfId="14637" xr:uid="{61E9525B-4E73-4EEA-AC4F-0B362E12DD36}"/>
    <cellStyle name="40% - Accent1 8 3 3" xfId="23065" xr:uid="{7F7008F4-1B2F-4A4F-BF61-D71A29D16280}"/>
    <cellStyle name="40% - Accent1 8 4" xfId="10419" xr:uid="{6C058486-6B69-433F-B33B-95C515A7813F}"/>
    <cellStyle name="40% - Accent1 8 5" xfId="18848" xr:uid="{D568895A-FCC7-4095-AA23-E201443ADFE6}"/>
    <cellStyle name="40% - Accent1 9" xfId="2313" xr:uid="{00000000-0005-0000-0000-00005E040000}"/>
    <cellStyle name="40% - Accent1 9 2" xfId="6621" xr:uid="{00000000-0005-0000-0000-00005F040000}"/>
    <cellStyle name="40% - Accent1 9 2 2" xfId="15050" xr:uid="{0236E528-CE14-419C-9229-9027A66955CB}"/>
    <cellStyle name="40% - Accent1 9 2 3" xfId="23478" xr:uid="{258D57A5-0A89-49FB-AA8F-05604742B163}"/>
    <cellStyle name="40% - Accent1 9 3" xfId="10832" xr:uid="{D446D8DD-69AB-482C-AA5B-74D88953075A}"/>
    <cellStyle name="40% - Accent1 9 4" xfId="19261" xr:uid="{1371168E-BAAF-445E-9F65-E4CE9C786B58}"/>
    <cellStyle name="40% - Accent2" xfId="57" builtinId="35" customBuiltin="1"/>
    <cellStyle name="40% - Accent2 10" xfId="4563" xr:uid="{00000000-0005-0000-0000-000061040000}"/>
    <cellStyle name="40% - Accent2 10 2" xfId="12992" xr:uid="{5B325FDB-8459-4386-8DCA-DAB47274076A}"/>
    <cellStyle name="40% - Accent2 10 3" xfId="21420" xr:uid="{D6DF168F-D2F0-40F7-80B2-B7721A36B0A7}"/>
    <cellStyle name="40% - Accent2 11" xfId="8774" xr:uid="{86610FF6-69E7-479E-A68E-FCA21D7F8F71}"/>
    <cellStyle name="40% - Accent2 12" xfId="17203" xr:uid="{2745D9AA-C90A-45CD-BAB6-CF193DF51E06}"/>
    <cellStyle name="40% - Accent2 2" xfId="58" xr:uid="{00000000-0005-0000-0000-000062040000}"/>
    <cellStyle name="40% - Accent2 2 10" xfId="8775" xr:uid="{D1192838-ED2D-4B4F-9B30-E7E010CC52C7}"/>
    <cellStyle name="40% - Accent2 2 11" xfId="17204" xr:uid="{3056EDA6-70AF-48DF-87CC-5595649BFE99}"/>
    <cellStyle name="40% - Accent2 2 2" xfId="59" xr:uid="{00000000-0005-0000-0000-000063040000}"/>
    <cellStyle name="40% - Accent2 2 2 10" xfId="17205" xr:uid="{A6E0735F-20A5-4ADB-A7F1-3F01073CE37C}"/>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54" xr:uid="{4268ADED-7E29-4C61-BA77-A7B0682B6CB2}"/>
    <cellStyle name="40% - Accent2 2 2 2 2 2 2 3" xfId="23982" xr:uid="{D2905307-0C76-4410-B83B-69BD3927CBE6}"/>
    <cellStyle name="40% - Accent2 2 2 2 2 2 3" xfId="11336" xr:uid="{06096917-7BD3-4306-A4CA-ABB34396EAFA}"/>
    <cellStyle name="40% - Accent2 2 2 2 2 2 4" xfId="19765" xr:uid="{47C52337-1D8F-43B1-8B15-351E4FE78BAC}"/>
    <cellStyle name="40% - Accent2 2 2 2 2 3" xfId="4980" xr:uid="{00000000-0005-0000-0000-000068040000}"/>
    <cellStyle name="40% - Accent2 2 2 2 2 3 2" xfId="13409" xr:uid="{B061B51A-5084-45E7-B165-8CF6893040D8}"/>
    <cellStyle name="40% - Accent2 2 2 2 2 3 3" xfId="21837" xr:uid="{A66F5643-23E4-415C-B17E-4D0DF5A99392}"/>
    <cellStyle name="40% - Accent2 2 2 2 2 4" xfId="9191" xr:uid="{691D16A9-BF1B-4D7C-B8BD-05D66B6478F6}"/>
    <cellStyle name="40% - Accent2 2 2 2 2 5" xfId="17620" xr:uid="{04267EB0-D333-49FB-A98B-DEC98C677C05}"/>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7" xr:uid="{AFB215F4-3D08-4B8B-BF00-73CDB4F67B01}"/>
    <cellStyle name="40% - Accent2 2 2 2 3 2 2 3" xfId="24395" xr:uid="{DAAB178C-AB77-4ADC-B673-42C70C8F8A45}"/>
    <cellStyle name="40% - Accent2 2 2 2 3 2 3" xfId="11749" xr:uid="{4F02BEF1-8CA7-420A-AFC8-48AC736D1EDE}"/>
    <cellStyle name="40% - Accent2 2 2 2 3 2 4" xfId="20178" xr:uid="{35867F53-8293-4261-A8EB-A4EB547BE450}"/>
    <cellStyle name="40% - Accent2 2 2 2 3 3" xfId="5393" xr:uid="{00000000-0005-0000-0000-00006C040000}"/>
    <cellStyle name="40% - Accent2 2 2 2 3 3 2" xfId="13822" xr:uid="{8672E7B5-2598-4DF0-B256-C0BCA756ECE7}"/>
    <cellStyle name="40% - Accent2 2 2 2 3 3 3" xfId="22250" xr:uid="{BAB53DE2-073E-48F8-9D37-4B2CD1746DEE}"/>
    <cellStyle name="40% - Accent2 2 2 2 3 4" xfId="9604" xr:uid="{E2D48766-AA22-4E0E-B906-B90B175E469F}"/>
    <cellStyle name="40% - Accent2 2 2 2 3 5" xfId="18033" xr:uid="{96A721D5-9E54-4475-964F-009E7113B729}"/>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80" xr:uid="{CBDBC98C-C906-474F-9242-3F913580C72D}"/>
    <cellStyle name="40% - Accent2 2 2 2 4 2 2 3" xfId="24808" xr:uid="{4FF6A2BD-93A0-4943-8103-954234399B59}"/>
    <cellStyle name="40% - Accent2 2 2 2 4 2 3" xfId="12162" xr:uid="{33E75B51-22A5-46E8-B202-FC45DFFB1F91}"/>
    <cellStyle name="40% - Accent2 2 2 2 4 2 4" xfId="20591" xr:uid="{99E225CB-2931-44EA-8008-695A03B639D4}"/>
    <cellStyle name="40% - Accent2 2 2 2 4 3" xfId="5806" xr:uid="{00000000-0005-0000-0000-000070040000}"/>
    <cellStyle name="40% - Accent2 2 2 2 4 3 2" xfId="14235" xr:uid="{5B30F945-5DDA-47B5-AF5C-0C8AFEF5E531}"/>
    <cellStyle name="40% - Accent2 2 2 2 4 3 3" xfId="22663" xr:uid="{2E0FEDC3-2145-4AFA-9687-CA01947FA399}"/>
    <cellStyle name="40% - Accent2 2 2 2 4 4" xfId="10017" xr:uid="{08D29BCD-3495-4B7B-9C69-6B72E00ACD7D}"/>
    <cellStyle name="40% - Accent2 2 2 2 4 5" xfId="18446" xr:uid="{C27E74E8-183F-4AC6-9E6C-69833868C58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93" xr:uid="{F4496AE1-2DB4-42C1-AE8C-4EA064386EF4}"/>
    <cellStyle name="40% - Accent2 2 2 2 5 2 2 3" xfId="25221" xr:uid="{B679DD92-5B98-4E47-ACAD-FC2C1526C264}"/>
    <cellStyle name="40% - Accent2 2 2 2 5 2 3" xfId="12575" xr:uid="{6BCDA953-9583-40AF-963B-C7DCB7A9C5DD}"/>
    <cellStyle name="40% - Accent2 2 2 2 5 2 4" xfId="21004" xr:uid="{13530CAC-D387-44A1-B74D-C4D66E6185AA}"/>
    <cellStyle name="40% - Accent2 2 2 2 5 3" xfId="6219" xr:uid="{00000000-0005-0000-0000-000074040000}"/>
    <cellStyle name="40% - Accent2 2 2 2 5 3 2" xfId="14648" xr:uid="{8E167AB5-BF8B-467F-9DBD-BCC9CF1BA7E7}"/>
    <cellStyle name="40% - Accent2 2 2 2 5 3 3" xfId="23076" xr:uid="{73C6937B-94E9-4D94-B0F3-239FD3DFC247}"/>
    <cellStyle name="40% - Accent2 2 2 2 5 4" xfId="10430" xr:uid="{B9BF632F-447F-4A65-8A74-257207D9BD80}"/>
    <cellStyle name="40% - Accent2 2 2 2 5 5" xfId="18859" xr:uid="{96B94802-B351-4289-89B3-91B6259D6BD4}"/>
    <cellStyle name="40% - Accent2 2 2 2 6" xfId="2324" xr:uid="{00000000-0005-0000-0000-000075040000}"/>
    <cellStyle name="40% - Accent2 2 2 2 6 2" xfId="6632" xr:uid="{00000000-0005-0000-0000-000076040000}"/>
    <cellStyle name="40% - Accent2 2 2 2 6 2 2" xfId="15061" xr:uid="{97243328-DEB3-4947-A32D-63903D0BCFC9}"/>
    <cellStyle name="40% - Accent2 2 2 2 6 2 3" xfId="23489" xr:uid="{1F60E67F-B6E0-4E27-B926-86CD2E1BF384}"/>
    <cellStyle name="40% - Accent2 2 2 2 6 3" xfId="10843" xr:uid="{87BF4A57-0881-461B-A55F-0A1FDAB8E882}"/>
    <cellStyle name="40% - Accent2 2 2 2 6 4" xfId="19272" xr:uid="{04BC321E-FC1A-42FF-9A9B-C498B28B0655}"/>
    <cellStyle name="40% - Accent2 2 2 2 7" xfId="4566" xr:uid="{00000000-0005-0000-0000-000077040000}"/>
    <cellStyle name="40% - Accent2 2 2 2 7 2" xfId="12995" xr:uid="{D6F26709-62D1-4B5F-AA04-3EBC803F9D4D}"/>
    <cellStyle name="40% - Accent2 2 2 2 7 3" xfId="21423" xr:uid="{F7809BB1-AF1E-43AF-B6F9-BEEC419E5782}"/>
    <cellStyle name="40% - Accent2 2 2 2 8" xfId="8777" xr:uid="{3ED845F8-51C4-483B-A4C4-DD965E0B779B}"/>
    <cellStyle name="40% - Accent2 2 2 2 9" xfId="17206" xr:uid="{921AFD79-2813-4D8E-9C8F-2EB4F9AF0E12}"/>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53" xr:uid="{8C890279-1727-43FC-9AF9-CBE7E9CF1B52}"/>
    <cellStyle name="40% - Accent2 2 2 3 2 2 3" xfId="23981" xr:uid="{3A602D02-2696-488A-A07C-2CFDC8E7D0B6}"/>
    <cellStyle name="40% - Accent2 2 2 3 2 3" xfId="11335" xr:uid="{B09B7873-098F-48A5-B706-75F81596FC7F}"/>
    <cellStyle name="40% - Accent2 2 2 3 2 4" xfId="19764" xr:uid="{0CA683E6-88F1-4BC5-BA32-97261D87D527}"/>
    <cellStyle name="40% - Accent2 2 2 3 3" xfId="4979" xr:uid="{00000000-0005-0000-0000-00007B040000}"/>
    <cellStyle name="40% - Accent2 2 2 3 3 2" xfId="13408" xr:uid="{EC7E10A2-1DFA-41AA-9190-DE28CE9AD49A}"/>
    <cellStyle name="40% - Accent2 2 2 3 3 3" xfId="21836" xr:uid="{EF1E621C-509D-4A27-8470-34F8CB41DC0E}"/>
    <cellStyle name="40% - Accent2 2 2 3 4" xfId="9190" xr:uid="{01A16CF0-0264-442F-B807-B3D68FEBC3E8}"/>
    <cellStyle name="40% - Accent2 2 2 3 5" xfId="17619" xr:uid="{1DE88591-0237-4F26-973D-EABC2B179F2A}"/>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66" xr:uid="{88ACCA4A-4098-4C53-8972-920815FC221D}"/>
    <cellStyle name="40% - Accent2 2 2 4 2 2 3" xfId="24394" xr:uid="{A66FE0BD-D730-4F37-A3CD-5A26479D2C8A}"/>
    <cellStyle name="40% - Accent2 2 2 4 2 3" xfId="11748" xr:uid="{5937760F-4CAD-495A-B83A-69F4D8C3EAF4}"/>
    <cellStyle name="40% - Accent2 2 2 4 2 4" xfId="20177" xr:uid="{97F247E9-C42C-4FAA-8872-F37A35C27EB6}"/>
    <cellStyle name="40% - Accent2 2 2 4 3" xfId="5392" xr:uid="{00000000-0005-0000-0000-00007F040000}"/>
    <cellStyle name="40% - Accent2 2 2 4 3 2" xfId="13821" xr:uid="{AEE7A200-53AD-48D1-8D62-3B8700764C72}"/>
    <cellStyle name="40% - Accent2 2 2 4 3 3" xfId="22249" xr:uid="{E66C50EB-2278-4E50-85A3-B9D9903A2065}"/>
    <cellStyle name="40% - Accent2 2 2 4 4" xfId="9603" xr:uid="{BDB6038F-D13A-4D51-A887-1EFC84FFF712}"/>
    <cellStyle name="40% - Accent2 2 2 4 5" xfId="18032" xr:uid="{49654154-47FE-49FF-ADC1-225756E791F4}"/>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9" xr:uid="{934C0080-61E0-4560-98F1-E176E3DA5732}"/>
    <cellStyle name="40% - Accent2 2 2 5 2 2 3" xfId="24807" xr:uid="{F8D6122A-D2B1-400C-A103-AEA8557D00F2}"/>
    <cellStyle name="40% - Accent2 2 2 5 2 3" xfId="12161" xr:uid="{6E424C04-1391-4CD7-AE95-A9828AF0F47C}"/>
    <cellStyle name="40% - Accent2 2 2 5 2 4" xfId="20590" xr:uid="{25257BB1-AE77-49D5-A582-FFBBF8F13E39}"/>
    <cellStyle name="40% - Accent2 2 2 5 3" xfId="5805" xr:uid="{00000000-0005-0000-0000-000083040000}"/>
    <cellStyle name="40% - Accent2 2 2 5 3 2" xfId="14234" xr:uid="{B59BCBAF-30C8-4DB8-8AFC-24AC1001844B}"/>
    <cellStyle name="40% - Accent2 2 2 5 3 3" xfId="22662" xr:uid="{C5809C70-6861-4CA4-B954-9AF92AF90728}"/>
    <cellStyle name="40% - Accent2 2 2 5 4" xfId="10016" xr:uid="{7D0907F8-9804-4FF3-9AA6-AA04D15C32F8}"/>
    <cellStyle name="40% - Accent2 2 2 5 5" xfId="18445" xr:uid="{18B99512-E36F-44E6-981B-BA1FF0FAF74C}"/>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92" xr:uid="{CA27F731-D310-475D-87E9-255FF613E174}"/>
    <cellStyle name="40% - Accent2 2 2 6 2 2 3" xfId="25220" xr:uid="{8F5C272E-90DB-491A-BD33-65C740433415}"/>
    <cellStyle name="40% - Accent2 2 2 6 2 3" xfId="12574" xr:uid="{0D606EF8-317E-42BE-9203-D39AF1F4E167}"/>
    <cellStyle name="40% - Accent2 2 2 6 2 4" xfId="21003" xr:uid="{CE1FE4FD-B7DC-4B65-97A3-B5F17941546E}"/>
    <cellStyle name="40% - Accent2 2 2 6 3" xfId="6218" xr:uid="{00000000-0005-0000-0000-000087040000}"/>
    <cellStyle name="40% - Accent2 2 2 6 3 2" xfId="14647" xr:uid="{BBE4F6C0-B560-4C7B-BCBD-00286402F866}"/>
    <cellStyle name="40% - Accent2 2 2 6 3 3" xfId="23075" xr:uid="{CE9F1D2E-4DB2-4E9A-8B08-90F5D8318D44}"/>
    <cellStyle name="40% - Accent2 2 2 6 4" xfId="10429" xr:uid="{70F3D6D5-70CF-4474-BFBE-B06EE4C0EA26}"/>
    <cellStyle name="40% - Accent2 2 2 6 5" xfId="18858" xr:uid="{AE12E1C1-8E1F-40D9-A22C-AC0950094DAE}"/>
    <cellStyle name="40% - Accent2 2 2 7" xfId="2323" xr:uid="{00000000-0005-0000-0000-000088040000}"/>
    <cellStyle name="40% - Accent2 2 2 7 2" xfId="6631" xr:uid="{00000000-0005-0000-0000-000089040000}"/>
    <cellStyle name="40% - Accent2 2 2 7 2 2" xfId="15060" xr:uid="{BB943F98-34AC-495C-B4B0-AF657085F0D0}"/>
    <cellStyle name="40% - Accent2 2 2 7 2 3" xfId="23488" xr:uid="{D020B3D3-460F-4C6B-A9EB-C468602CAAE8}"/>
    <cellStyle name="40% - Accent2 2 2 7 3" xfId="10842" xr:uid="{ABCC49CB-6774-4907-9ED7-443E1A766101}"/>
    <cellStyle name="40% - Accent2 2 2 7 4" xfId="19271" xr:uid="{E7F4B9C2-020D-407E-9031-21174BB11CC1}"/>
    <cellStyle name="40% - Accent2 2 2 8" xfId="4565" xr:uid="{00000000-0005-0000-0000-00008A040000}"/>
    <cellStyle name="40% - Accent2 2 2 8 2" xfId="12994" xr:uid="{2D874DDB-1D1C-4EC1-BF71-67A34995B376}"/>
    <cellStyle name="40% - Accent2 2 2 8 3" xfId="21422" xr:uid="{F62D0E3C-5686-4136-8BA5-33D0EB55E675}"/>
    <cellStyle name="40% - Accent2 2 2 9" xfId="8776" xr:uid="{A7AB49A3-5A03-4E66-960E-4B3C86B8DBE8}"/>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55" xr:uid="{BD1AD359-8D77-4E90-9E2C-49A1F4142B41}"/>
    <cellStyle name="40% - Accent2 2 3 2 2 2 3" xfId="23983" xr:uid="{29CCD888-42DE-4CB7-9AC5-AE09B1078129}"/>
    <cellStyle name="40% - Accent2 2 3 2 2 3" xfId="11337" xr:uid="{09123301-FA02-426C-B826-4884F87962B9}"/>
    <cellStyle name="40% - Accent2 2 3 2 2 4" xfId="19766" xr:uid="{0A2F056A-9B09-4120-AD4C-5CCF642D2DDE}"/>
    <cellStyle name="40% - Accent2 2 3 2 3" xfId="4981" xr:uid="{00000000-0005-0000-0000-00008F040000}"/>
    <cellStyle name="40% - Accent2 2 3 2 3 2" xfId="13410" xr:uid="{27191237-64E8-4670-A8BD-11DD5ECA844F}"/>
    <cellStyle name="40% - Accent2 2 3 2 3 3" xfId="21838" xr:uid="{5030B1D3-E7A5-47DE-A54B-C6EF11C1F618}"/>
    <cellStyle name="40% - Accent2 2 3 2 4" xfId="9192" xr:uid="{67DC1FD7-49ED-4184-A4C4-646367391A47}"/>
    <cellStyle name="40% - Accent2 2 3 2 5" xfId="17621" xr:uid="{22F373B3-2E3F-47CF-A351-0DC10C96008E}"/>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8" xr:uid="{B5B41EDD-7B6B-40CE-8CFC-65AF21782E2E}"/>
    <cellStyle name="40% - Accent2 2 3 3 2 2 3" xfId="24396" xr:uid="{4F8BFB98-14E4-4E6E-AA27-F6DE063C8C71}"/>
    <cellStyle name="40% - Accent2 2 3 3 2 3" xfId="11750" xr:uid="{B86FB869-D6FD-443B-8DEC-AB8D7D9C8000}"/>
    <cellStyle name="40% - Accent2 2 3 3 2 4" xfId="20179" xr:uid="{EC5E0DE3-E13A-47C7-8498-65E8A5F21291}"/>
    <cellStyle name="40% - Accent2 2 3 3 3" xfId="5394" xr:uid="{00000000-0005-0000-0000-000093040000}"/>
    <cellStyle name="40% - Accent2 2 3 3 3 2" xfId="13823" xr:uid="{BB01CFA8-F90C-4788-A66F-C4910C04212A}"/>
    <cellStyle name="40% - Accent2 2 3 3 3 3" xfId="22251" xr:uid="{B0555FDB-0081-4D4B-86EA-1D4457772A43}"/>
    <cellStyle name="40% - Accent2 2 3 3 4" xfId="9605" xr:uid="{B39F19A9-B44A-4972-B4B1-1E0C93F1F6F8}"/>
    <cellStyle name="40% - Accent2 2 3 3 5" xfId="18034" xr:uid="{3243D860-6464-4E79-ABEA-11FF8712D9AA}"/>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81" xr:uid="{26D92FAE-8248-43DF-A17F-FC3F076A974D}"/>
    <cellStyle name="40% - Accent2 2 3 4 2 2 3" xfId="24809" xr:uid="{BF849061-55CD-4E6F-B87F-7D174E6DCD28}"/>
    <cellStyle name="40% - Accent2 2 3 4 2 3" xfId="12163" xr:uid="{9E672C27-275F-44A1-A0E4-6440F401BFE1}"/>
    <cellStyle name="40% - Accent2 2 3 4 2 4" xfId="20592" xr:uid="{9ECCFD7D-EA99-477D-9299-1BA12F1641D0}"/>
    <cellStyle name="40% - Accent2 2 3 4 3" xfId="5807" xr:uid="{00000000-0005-0000-0000-000097040000}"/>
    <cellStyle name="40% - Accent2 2 3 4 3 2" xfId="14236" xr:uid="{F84BB943-CFC5-4DE7-9DD7-97CA4D7DF091}"/>
    <cellStyle name="40% - Accent2 2 3 4 3 3" xfId="22664" xr:uid="{16ACBA40-8B75-40D7-8A2B-3D5336D1AC61}"/>
    <cellStyle name="40% - Accent2 2 3 4 4" xfId="10018" xr:uid="{9E494CFC-F471-4380-971B-64B2A6FAD894}"/>
    <cellStyle name="40% - Accent2 2 3 4 5" xfId="18447" xr:uid="{383E251F-6FC9-4707-94F5-B94D20241F4B}"/>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94" xr:uid="{67511FA8-9D27-4760-87CA-2183C833E084}"/>
    <cellStyle name="40% - Accent2 2 3 5 2 2 3" xfId="25222" xr:uid="{E8687A06-3322-4536-B55B-FDF8270C01EA}"/>
    <cellStyle name="40% - Accent2 2 3 5 2 3" xfId="12576" xr:uid="{639847E4-DA1B-44E1-961E-AB295E0F8D0E}"/>
    <cellStyle name="40% - Accent2 2 3 5 2 4" xfId="21005" xr:uid="{AD4FB1E9-E7C3-465F-B2D6-B92FC13FF303}"/>
    <cellStyle name="40% - Accent2 2 3 5 3" xfId="6220" xr:uid="{00000000-0005-0000-0000-00009B040000}"/>
    <cellStyle name="40% - Accent2 2 3 5 3 2" xfId="14649" xr:uid="{DA362EF9-A080-48C7-8873-E7DE754E628D}"/>
    <cellStyle name="40% - Accent2 2 3 5 3 3" xfId="23077" xr:uid="{F68B9BF4-8069-4071-A012-D310CE1C79E1}"/>
    <cellStyle name="40% - Accent2 2 3 5 4" xfId="10431" xr:uid="{717F055D-4FFA-4A72-89D7-B6A6B874CD8D}"/>
    <cellStyle name="40% - Accent2 2 3 5 5" xfId="18860" xr:uid="{E0BAED41-DB0E-4A1B-B6ED-5419CE23E818}"/>
    <cellStyle name="40% - Accent2 2 3 6" xfId="2325" xr:uid="{00000000-0005-0000-0000-00009C040000}"/>
    <cellStyle name="40% - Accent2 2 3 6 2" xfId="6633" xr:uid="{00000000-0005-0000-0000-00009D040000}"/>
    <cellStyle name="40% - Accent2 2 3 6 2 2" xfId="15062" xr:uid="{EE0704BC-4FC5-4128-A9C7-8679FC768E12}"/>
    <cellStyle name="40% - Accent2 2 3 6 2 3" xfId="23490" xr:uid="{DDE24B24-2C76-42A7-8F22-34AC57A885DE}"/>
    <cellStyle name="40% - Accent2 2 3 6 3" xfId="10844" xr:uid="{C3BB1F2A-C67D-4B5B-B6DE-042E5A620058}"/>
    <cellStyle name="40% - Accent2 2 3 6 4" xfId="19273" xr:uid="{F57625E3-9299-4628-B35D-89EE81F91867}"/>
    <cellStyle name="40% - Accent2 2 3 7" xfId="4567" xr:uid="{00000000-0005-0000-0000-00009E040000}"/>
    <cellStyle name="40% - Accent2 2 3 7 2" xfId="12996" xr:uid="{9EAD1F87-C250-48B3-BCAD-06B1346D5441}"/>
    <cellStyle name="40% - Accent2 2 3 7 3" xfId="21424" xr:uid="{7EC2DA02-9DA9-4FC6-8007-051905B65FDB}"/>
    <cellStyle name="40% - Accent2 2 3 8" xfId="8778" xr:uid="{235AF5FA-5042-42A6-BBB1-FA8381A208A3}"/>
    <cellStyle name="40% - Accent2 2 3 9" xfId="17207" xr:uid="{AA7B51A3-0A7F-44A0-B40F-52A299EA0288}"/>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52" xr:uid="{234BCF88-5D9F-47E9-A42C-677DE36EEE15}"/>
    <cellStyle name="40% - Accent2 2 4 2 2 3" xfId="23980" xr:uid="{35AB5C5B-FE23-457C-83A9-AEC76A01A797}"/>
    <cellStyle name="40% - Accent2 2 4 2 3" xfId="11334" xr:uid="{CF334C7F-BC5C-4BED-B6B5-B38E24E4C45F}"/>
    <cellStyle name="40% - Accent2 2 4 2 4" xfId="19763" xr:uid="{4E8E797C-8A4C-450A-9578-7F7FE69B3326}"/>
    <cellStyle name="40% - Accent2 2 4 3" xfId="4978" xr:uid="{00000000-0005-0000-0000-0000A2040000}"/>
    <cellStyle name="40% - Accent2 2 4 3 2" xfId="13407" xr:uid="{49F24537-3EE3-4073-A406-17A89B24D513}"/>
    <cellStyle name="40% - Accent2 2 4 3 3" xfId="21835" xr:uid="{66055BA8-5885-4E94-A970-A714860654CB}"/>
    <cellStyle name="40% - Accent2 2 4 4" xfId="9189" xr:uid="{18349744-59AE-4AFE-A497-A0701139E6C7}"/>
    <cellStyle name="40% - Accent2 2 4 5" xfId="17618" xr:uid="{57552925-44D7-41AD-B489-A718747F4141}"/>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65" xr:uid="{64BDBC81-C940-4BAD-8FB8-756389707347}"/>
    <cellStyle name="40% - Accent2 2 5 2 2 3" xfId="24393" xr:uid="{A743999D-0B6F-44D4-B9AA-94146C722739}"/>
    <cellStyle name="40% - Accent2 2 5 2 3" xfId="11747" xr:uid="{6E3B61AB-3221-4B50-AB00-620BC4AB846D}"/>
    <cellStyle name="40% - Accent2 2 5 2 4" xfId="20176" xr:uid="{4D2E38DF-5868-4646-A99F-852E360384DD}"/>
    <cellStyle name="40% - Accent2 2 5 3" xfId="5391" xr:uid="{00000000-0005-0000-0000-0000A6040000}"/>
    <cellStyle name="40% - Accent2 2 5 3 2" xfId="13820" xr:uid="{BA8B1AC8-33AE-4376-ABEF-F3F00F4289CF}"/>
    <cellStyle name="40% - Accent2 2 5 3 3" xfId="22248" xr:uid="{2DBA5824-4FB1-453F-9115-AE9C835A965F}"/>
    <cellStyle name="40% - Accent2 2 5 4" xfId="9602" xr:uid="{8C81F01C-C357-4A0A-8AEF-912103EAB025}"/>
    <cellStyle name="40% - Accent2 2 5 5" xfId="18031" xr:uid="{B75827AC-9D91-4EDA-8DDB-1E16F1879855}"/>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8" xr:uid="{FB66B029-B69D-4EF8-BEE1-50C09CD42871}"/>
    <cellStyle name="40% - Accent2 2 6 2 2 3" xfId="24806" xr:uid="{82534B95-8F49-401A-B840-AF3F07D26125}"/>
    <cellStyle name="40% - Accent2 2 6 2 3" xfId="12160" xr:uid="{26024F54-88B8-4871-95C5-97437BC9E31D}"/>
    <cellStyle name="40% - Accent2 2 6 2 4" xfId="20589" xr:uid="{D625B341-5B73-4CF3-8E79-5C6A17D02217}"/>
    <cellStyle name="40% - Accent2 2 6 3" xfId="5804" xr:uid="{00000000-0005-0000-0000-0000AA040000}"/>
    <cellStyle name="40% - Accent2 2 6 3 2" xfId="14233" xr:uid="{F9762127-F8A9-4202-B10D-B03697635DB3}"/>
    <cellStyle name="40% - Accent2 2 6 3 3" xfId="22661" xr:uid="{7EC10542-9933-4C07-8A19-DF40F119490A}"/>
    <cellStyle name="40% - Accent2 2 6 4" xfId="10015" xr:uid="{AD44DB3F-7EEC-4B3F-A7C5-4552CECE4456}"/>
    <cellStyle name="40% - Accent2 2 6 5" xfId="18444" xr:uid="{6412F3DA-9863-4F8D-9132-443311791216}"/>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91" xr:uid="{CE24DC95-BF36-4957-AE05-F32340F64983}"/>
    <cellStyle name="40% - Accent2 2 7 2 2 3" xfId="25219" xr:uid="{D4944822-3CF9-497D-AB7D-D7BFE6A50272}"/>
    <cellStyle name="40% - Accent2 2 7 2 3" xfId="12573" xr:uid="{9C2959D5-5E54-415D-885C-9B58A629C019}"/>
    <cellStyle name="40% - Accent2 2 7 2 4" xfId="21002" xr:uid="{2844A039-8C33-46F5-ADAA-0CD721031B99}"/>
    <cellStyle name="40% - Accent2 2 7 3" xfId="6217" xr:uid="{00000000-0005-0000-0000-0000AE040000}"/>
    <cellStyle name="40% - Accent2 2 7 3 2" xfId="14646" xr:uid="{D519C262-5B87-4F37-8076-B0E09C9AB80C}"/>
    <cellStyle name="40% - Accent2 2 7 3 3" xfId="23074" xr:uid="{4E947345-BD0F-41F5-9AE3-4B9773A3BCAD}"/>
    <cellStyle name="40% - Accent2 2 7 4" xfId="10428" xr:uid="{A15C1241-2C21-4740-891F-E614A52E56A8}"/>
    <cellStyle name="40% - Accent2 2 7 5" xfId="18857" xr:uid="{F1823BAA-D5BD-4E02-A8D2-14E968D4368B}"/>
    <cellStyle name="40% - Accent2 2 8" xfId="2322" xr:uid="{00000000-0005-0000-0000-0000AF040000}"/>
    <cellStyle name="40% - Accent2 2 8 2" xfId="6630" xr:uid="{00000000-0005-0000-0000-0000B0040000}"/>
    <cellStyle name="40% - Accent2 2 8 2 2" xfId="15059" xr:uid="{C121A5ED-9BC6-423F-A65C-243FA781AD62}"/>
    <cellStyle name="40% - Accent2 2 8 2 3" xfId="23487" xr:uid="{E23806E4-A3B6-4E3B-B8F9-05FC9D52D427}"/>
    <cellStyle name="40% - Accent2 2 8 3" xfId="10841" xr:uid="{39641EC8-865A-40E3-8C3F-B5B1956B985D}"/>
    <cellStyle name="40% - Accent2 2 8 4" xfId="19270" xr:uid="{3FC0A7BD-F92F-4817-98A2-B7348599E522}"/>
    <cellStyle name="40% - Accent2 2 9" xfId="4564" xr:uid="{00000000-0005-0000-0000-0000B1040000}"/>
    <cellStyle name="40% - Accent2 2 9 2" xfId="12993" xr:uid="{C4E71DFA-5805-4E45-870E-2E2A1EA3DDE5}"/>
    <cellStyle name="40% - Accent2 2 9 3" xfId="21421" xr:uid="{8F276662-4EA2-4F7D-96AA-82E3D70889C0}"/>
    <cellStyle name="40% - Accent2 3" xfId="62" xr:uid="{00000000-0005-0000-0000-0000B2040000}"/>
    <cellStyle name="40% - Accent2 3 10" xfId="17208" xr:uid="{466BFEBC-B2D9-4649-B148-79069827D22B}"/>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7" xr:uid="{D0640D6A-D02E-4464-A5BD-14FFBBFD6983}"/>
    <cellStyle name="40% - Accent2 3 2 2 2 2 3" xfId="23985" xr:uid="{A44FF8F5-B74A-4A6E-8BFD-4878A7C598A6}"/>
    <cellStyle name="40% - Accent2 3 2 2 2 3" xfId="11339" xr:uid="{0C6944D9-00E4-4CA6-9FCF-9FF408DBA2B0}"/>
    <cellStyle name="40% - Accent2 3 2 2 2 4" xfId="19768" xr:uid="{2D36443C-74B7-4ADC-9238-A7AA51859828}"/>
    <cellStyle name="40% - Accent2 3 2 2 3" xfId="4983" xr:uid="{00000000-0005-0000-0000-0000B7040000}"/>
    <cellStyle name="40% - Accent2 3 2 2 3 2" xfId="13412" xr:uid="{4CE43A56-7256-4CEA-AB7B-44E62B59EF98}"/>
    <cellStyle name="40% - Accent2 3 2 2 3 3" xfId="21840" xr:uid="{9837BC01-7698-4A72-867F-6F6410405E8A}"/>
    <cellStyle name="40% - Accent2 3 2 2 4" xfId="9194" xr:uid="{08CB1E47-C47E-47EB-9C36-3E603D6E0F8F}"/>
    <cellStyle name="40% - Accent2 3 2 2 5" xfId="17623" xr:uid="{B2A40FD0-CADF-4721-BBD2-847D8FBA45DD}"/>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70" xr:uid="{49391FF8-BC64-4C81-A74D-D23D33117522}"/>
    <cellStyle name="40% - Accent2 3 2 3 2 2 3" xfId="24398" xr:uid="{22EDA641-5863-4B5A-B676-CDCCBD342B60}"/>
    <cellStyle name="40% - Accent2 3 2 3 2 3" xfId="11752" xr:uid="{317581A7-7056-4930-97E4-4F05AA114CA7}"/>
    <cellStyle name="40% - Accent2 3 2 3 2 4" xfId="20181" xr:uid="{9A0ECC99-0C58-428E-B897-4B53F4016F0C}"/>
    <cellStyle name="40% - Accent2 3 2 3 3" xfId="5396" xr:uid="{00000000-0005-0000-0000-0000BB040000}"/>
    <cellStyle name="40% - Accent2 3 2 3 3 2" xfId="13825" xr:uid="{E6432126-3FE8-43F4-A920-C20DF878BA6C}"/>
    <cellStyle name="40% - Accent2 3 2 3 3 3" xfId="22253" xr:uid="{DF581891-4A76-4CE4-BA18-21E486370560}"/>
    <cellStyle name="40% - Accent2 3 2 3 4" xfId="9607" xr:uid="{96DB1297-AB6A-4261-B800-7CD3AE71BDFA}"/>
    <cellStyle name="40% - Accent2 3 2 3 5" xfId="18036" xr:uid="{C21AFECB-932B-44FB-A29A-D80C8774F036}"/>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83" xr:uid="{15CAD3C5-65C3-4DA0-8D69-D63660A3106F}"/>
    <cellStyle name="40% - Accent2 3 2 4 2 2 3" xfId="24811" xr:uid="{E22C4778-FC59-48D1-9607-8951B3CF5F93}"/>
    <cellStyle name="40% - Accent2 3 2 4 2 3" xfId="12165" xr:uid="{FD4D033C-5AB4-42D6-A665-F582D89BAE62}"/>
    <cellStyle name="40% - Accent2 3 2 4 2 4" xfId="20594" xr:uid="{9C2E8231-378D-4573-9A88-2ABB064D2048}"/>
    <cellStyle name="40% - Accent2 3 2 4 3" xfId="5809" xr:uid="{00000000-0005-0000-0000-0000BF040000}"/>
    <cellStyle name="40% - Accent2 3 2 4 3 2" xfId="14238" xr:uid="{D58F8F10-B200-4498-9202-92AA93817F27}"/>
    <cellStyle name="40% - Accent2 3 2 4 3 3" xfId="22666" xr:uid="{432226A2-31E5-4488-A10F-AEBC031D4114}"/>
    <cellStyle name="40% - Accent2 3 2 4 4" xfId="10020" xr:uid="{EE9B0E51-6A9C-4B51-8310-470620035C4E}"/>
    <cellStyle name="40% - Accent2 3 2 4 5" xfId="18449" xr:uid="{54C709EE-D156-46A8-8EA3-A7357C112F9B}"/>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96" xr:uid="{C33EFD18-DDDF-4C3A-B965-FA279342DCC1}"/>
    <cellStyle name="40% - Accent2 3 2 5 2 2 3" xfId="25224" xr:uid="{52A8A8AF-BE18-4393-93D6-EF53D26309F2}"/>
    <cellStyle name="40% - Accent2 3 2 5 2 3" xfId="12578" xr:uid="{ECF69D4B-6FC7-4580-8D6D-24128B25326D}"/>
    <cellStyle name="40% - Accent2 3 2 5 2 4" xfId="21007" xr:uid="{1E53DDE9-FDE2-4839-AB11-DB6D9A924230}"/>
    <cellStyle name="40% - Accent2 3 2 5 3" xfId="6222" xr:uid="{00000000-0005-0000-0000-0000C3040000}"/>
    <cellStyle name="40% - Accent2 3 2 5 3 2" xfId="14651" xr:uid="{048F7D9B-DBF7-4E18-83C0-26F07DC28F4C}"/>
    <cellStyle name="40% - Accent2 3 2 5 3 3" xfId="23079" xr:uid="{01895B93-FE35-4CC3-992A-6A58201CEF56}"/>
    <cellStyle name="40% - Accent2 3 2 5 4" xfId="10433" xr:uid="{9A3E3A5E-7484-441E-82E9-42B5D213DB5A}"/>
    <cellStyle name="40% - Accent2 3 2 5 5" xfId="18862" xr:uid="{CE260B62-EE1A-4A19-806D-28F66D0F0800}"/>
    <cellStyle name="40% - Accent2 3 2 6" xfId="2327" xr:uid="{00000000-0005-0000-0000-0000C4040000}"/>
    <cellStyle name="40% - Accent2 3 2 6 2" xfId="6635" xr:uid="{00000000-0005-0000-0000-0000C5040000}"/>
    <cellStyle name="40% - Accent2 3 2 6 2 2" xfId="15064" xr:uid="{59D6D49F-A6EF-4C63-856E-AA026E4BCC11}"/>
    <cellStyle name="40% - Accent2 3 2 6 2 3" xfId="23492" xr:uid="{1EC24F58-1D6E-411E-AC34-E6389F3B2AFD}"/>
    <cellStyle name="40% - Accent2 3 2 6 3" xfId="10846" xr:uid="{AA73DDA3-0542-449D-A3D9-DBD1CA8C9CF7}"/>
    <cellStyle name="40% - Accent2 3 2 6 4" xfId="19275" xr:uid="{87B313CC-9F29-424A-B961-886BD5E5EE77}"/>
    <cellStyle name="40% - Accent2 3 2 7" xfId="4569" xr:uid="{00000000-0005-0000-0000-0000C6040000}"/>
    <cellStyle name="40% - Accent2 3 2 7 2" xfId="12998" xr:uid="{AEAA5613-F5AA-4B76-BE15-0378830127B3}"/>
    <cellStyle name="40% - Accent2 3 2 7 3" xfId="21426" xr:uid="{60514B82-5411-44A0-BBF1-51A458196184}"/>
    <cellStyle name="40% - Accent2 3 2 8" xfId="8780" xr:uid="{EC75E1B3-1C84-4714-98AD-F65989E27FD4}"/>
    <cellStyle name="40% - Accent2 3 2 9" xfId="17209" xr:uid="{9C77A332-4294-4023-8D6E-3BFCF84ECE61}"/>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56" xr:uid="{19905557-B0AB-4DD0-9919-A4483D2195E7}"/>
    <cellStyle name="40% - Accent2 3 3 2 2 3" xfId="23984" xr:uid="{BDB4532A-F6D6-4335-A14C-82601BC09DB7}"/>
    <cellStyle name="40% - Accent2 3 3 2 3" xfId="11338" xr:uid="{13D432FF-BE51-464F-B420-6A6EC6850E6E}"/>
    <cellStyle name="40% - Accent2 3 3 2 4" xfId="19767" xr:uid="{CC4F0DDF-A9D1-4C22-93C1-665C0B5D0B89}"/>
    <cellStyle name="40% - Accent2 3 3 3" xfId="4982" xr:uid="{00000000-0005-0000-0000-0000CA040000}"/>
    <cellStyle name="40% - Accent2 3 3 3 2" xfId="13411" xr:uid="{ADD0245F-C5CB-4E61-BD0A-AA302663A20D}"/>
    <cellStyle name="40% - Accent2 3 3 3 3" xfId="21839" xr:uid="{E2F9FAF5-482A-4F75-82CE-FB1B4142C1A5}"/>
    <cellStyle name="40% - Accent2 3 3 4" xfId="9193" xr:uid="{FD2E2589-140B-41B3-8D70-6CD9A3196385}"/>
    <cellStyle name="40% - Accent2 3 3 5" xfId="17622" xr:uid="{64AD070C-5AB5-4FF7-ADD5-1900BF6DB067}"/>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9" xr:uid="{A85F5A83-2381-40F8-8197-7D7A4B5AB3CF}"/>
    <cellStyle name="40% - Accent2 3 4 2 2 3" xfId="24397" xr:uid="{C79BB491-A859-401C-8B19-5AADE9A4D102}"/>
    <cellStyle name="40% - Accent2 3 4 2 3" xfId="11751" xr:uid="{D28E8322-384E-43CA-9107-0B7F4CEF25FC}"/>
    <cellStyle name="40% - Accent2 3 4 2 4" xfId="20180" xr:uid="{62D3BD68-02F9-4005-9868-5597CE3E815E}"/>
    <cellStyle name="40% - Accent2 3 4 3" xfId="5395" xr:uid="{00000000-0005-0000-0000-0000CE040000}"/>
    <cellStyle name="40% - Accent2 3 4 3 2" xfId="13824" xr:uid="{4245F9AF-5A64-416B-B093-D62AEEB1FDDB}"/>
    <cellStyle name="40% - Accent2 3 4 3 3" xfId="22252" xr:uid="{5B3B3970-796D-40CC-89F2-5ACB3F9DB842}"/>
    <cellStyle name="40% - Accent2 3 4 4" xfId="9606" xr:uid="{1F0AC33F-F1C4-4289-99DB-4ED28B511057}"/>
    <cellStyle name="40% - Accent2 3 4 5" xfId="18035" xr:uid="{A14BCD7E-30D3-4E4D-8D1E-F9057FF789FB}"/>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82" xr:uid="{4324FF9C-444A-44A4-81D6-744255A6BD71}"/>
    <cellStyle name="40% - Accent2 3 5 2 2 3" xfId="24810" xr:uid="{1C296478-AA5B-4445-941D-EC3BEF52367A}"/>
    <cellStyle name="40% - Accent2 3 5 2 3" xfId="12164" xr:uid="{6BF6D1FA-5878-4E2A-938C-35A6F5BE05F7}"/>
    <cellStyle name="40% - Accent2 3 5 2 4" xfId="20593" xr:uid="{B0BE3CCC-D1B8-4363-A7B8-ECBCA723DBE6}"/>
    <cellStyle name="40% - Accent2 3 5 3" xfId="5808" xr:uid="{00000000-0005-0000-0000-0000D2040000}"/>
    <cellStyle name="40% - Accent2 3 5 3 2" xfId="14237" xr:uid="{2F480390-1EE2-46B2-BF60-2D9A42EF29C3}"/>
    <cellStyle name="40% - Accent2 3 5 3 3" xfId="22665" xr:uid="{D4FFE96C-239E-405C-A8C2-0799D83E2A04}"/>
    <cellStyle name="40% - Accent2 3 5 4" xfId="10019" xr:uid="{DB437362-CF75-4D40-99A3-FED11AE32E54}"/>
    <cellStyle name="40% - Accent2 3 5 5" xfId="18448" xr:uid="{3957B9AD-EE5F-43FD-AAAB-939B834C8CD1}"/>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95" xr:uid="{24792E70-5122-4969-ADE7-2EBE359A083C}"/>
    <cellStyle name="40% - Accent2 3 6 2 2 3" xfId="25223" xr:uid="{3037ABD0-C447-4BF8-A61F-6991C2A6A1FC}"/>
    <cellStyle name="40% - Accent2 3 6 2 3" xfId="12577" xr:uid="{12CCE224-C91B-4FC1-B1CF-CC3B116D9E18}"/>
    <cellStyle name="40% - Accent2 3 6 2 4" xfId="21006" xr:uid="{23DD3D3F-54DC-4E78-BE33-F7F7E1EA7EBF}"/>
    <cellStyle name="40% - Accent2 3 6 3" xfId="6221" xr:uid="{00000000-0005-0000-0000-0000D6040000}"/>
    <cellStyle name="40% - Accent2 3 6 3 2" xfId="14650" xr:uid="{80274A8E-1A72-4BCC-804B-78270BF3C809}"/>
    <cellStyle name="40% - Accent2 3 6 3 3" xfId="23078" xr:uid="{B005ED74-9549-4777-9556-E11EC4C8E451}"/>
    <cellStyle name="40% - Accent2 3 6 4" xfId="10432" xr:uid="{0C105B11-1BB7-46A9-AE93-F15B7AADBFEE}"/>
    <cellStyle name="40% - Accent2 3 6 5" xfId="18861" xr:uid="{01116C62-D118-4804-9346-A326F4FDA480}"/>
    <cellStyle name="40% - Accent2 3 7" xfId="2326" xr:uid="{00000000-0005-0000-0000-0000D7040000}"/>
    <cellStyle name="40% - Accent2 3 7 2" xfId="6634" xr:uid="{00000000-0005-0000-0000-0000D8040000}"/>
    <cellStyle name="40% - Accent2 3 7 2 2" xfId="15063" xr:uid="{884C8C6C-36F8-4160-BCED-FBE4D6AAA877}"/>
    <cellStyle name="40% - Accent2 3 7 2 3" xfId="23491" xr:uid="{BEA83777-193D-470A-B4DA-E804B05B15AF}"/>
    <cellStyle name="40% - Accent2 3 7 3" xfId="10845" xr:uid="{EE968F3A-0500-4F7C-9571-02FE06C31ACA}"/>
    <cellStyle name="40% - Accent2 3 7 4" xfId="19274" xr:uid="{E39112AE-94DD-42EE-BD04-6833EB648352}"/>
    <cellStyle name="40% - Accent2 3 8" xfId="4568" xr:uid="{00000000-0005-0000-0000-0000D9040000}"/>
    <cellStyle name="40% - Accent2 3 8 2" xfId="12997" xr:uid="{F428B959-9AA6-4A30-99BE-6A636D80DADC}"/>
    <cellStyle name="40% - Accent2 3 8 3" xfId="21425" xr:uid="{3E3ADBE2-8BB0-43C0-94ED-58A3359F6F6E}"/>
    <cellStyle name="40% - Accent2 3 9" xfId="8779" xr:uid="{708B85E2-32F3-41A0-984D-1D474C87CE17}"/>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8" xr:uid="{A76E3A73-894D-4F13-B5FB-4C5C28219B69}"/>
    <cellStyle name="40% - Accent2 4 2 2 2 3" xfId="23986" xr:uid="{89791531-5360-47A1-9121-F5794808B4BB}"/>
    <cellStyle name="40% - Accent2 4 2 2 3" xfId="11340" xr:uid="{F801E387-2CD8-4ECB-810D-AAFE24219AF8}"/>
    <cellStyle name="40% - Accent2 4 2 2 4" xfId="19769" xr:uid="{C59550C8-23F8-4B61-827D-A23F34EED0C3}"/>
    <cellStyle name="40% - Accent2 4 2 3" xfId="4984" xr:uid="{00000000-0005-0000-0000-0000DE040000}"/>
    <cellStyle name="40% - Accent2 4 2 3 2" xfId="13413" xr:uid="{4C40179B-B0E0-4F0E-BB85-2477BF9C7A7C}"/>
    <cellStyle name="40% - Accent2 4 2 3 3" xfId="21841" xr:uid="{2FD6F9D5-6317-4CF9-97A5-F61C3D560AFE}"/>
    <cellStyle name="40% - Accent2 4 2 4" xfId="9195" xr:uid="{F0D3CAB4-AD84-4CB7-97F8-074E4993FC21}"/>
    <cellStyle name="40% - Accent2 4 2 5" xfId="17624" xr:uid="{7AAF7116-3877-478B-BCB2-63C45B62C850}"/>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71" xr:uid="{AF2B01AB-FE25-410D-B1E7-3B787C3B062A}"/>
    <cellStyle name="40% - Accent2 4 3 2 2 3" xfId="24399" xr:uid="{5948E4D7-1DCC-45ED-880C-A7247671ED59}"/>
    <cellStyle name="40% - Accent2 4 3 2 3" xfId="11753" xr:uid="{9F7E633E-9B2D-490A-ADCE-51DF7F8818CB}"/>
    <cellStyle name="40% - Accent2 4 3 2 4" xfId="20182" xr:uid="{426CD837-E054-41EB-A028-89A166D83DDF}"/>
    <cellStyle name="40% - Accent2 4 3 3" xfId="5397" xr:uid="{00000000-0005-0000-0000-0000E2040000}"/>
    <cellStyle name="40% - Accent2 4 3 3 2" xfId="13826" xr:uid="{3E0A973B-F142-4E95-99CE-55F292B56DF4}"/>
    <cellStyle name="40% - Accent2 4 3 3 3" xfId="22254" xr:uid="{CEFC9C8F-6BCF-4AC2-97B2-19A8D4F50A75}"/>
    <cellStyle name="40% - Accent2 4 3 4" xfId="9608" xr:uid="{2FE09FF1-1665-4FE3-93F2-2D0C36369E9E}"/>
    <cellStyle name="40% - Accent2 4 3 5" xfId="18037" xr:uid="{186CAAA1-BE8B-43DA-803E-FA69C986D150}"/>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84" xr:uid="{F19CAE29-BFB8-4F57-A648-99FD91F310BB}"/>
    <cellStyle name="40% - Accent2 4 4 2 2 3" xfId="24812" xr:uid="{E93170CB-F72F-4E30-A33C-6B4BDDA9E063}"/>
    <cellStyle name="40% - Accent2 4 4 2 3" xfId="12166" xr:uid="{802F9F9E-BBE7-436A-8424-EAC82712FD35}"/>
    <cellStyle name="40% - Accent2 4 4 2 4" xfId="20595" xr:uid="{8BAFAE86-FE26-48D2-9516-219C3FC93F1A}"/>
    <cellStyle name="40% - Accent2 4 4 3" xfId="5810" xr:uid="{00000000-0005-0000-0000-0000E6040000}"/>
    <cellStyle name="40% - Accent2 4 4 3 2" xfId="14239" xr:uid="{645460E8-2F4C-43E3-A3E7-2D75E7C5B8FF}"/>
    <cellStyle name="40% - Accent2 4 4 3 3" xfId="22667" xr:uid="{E5390E2B-F773-43E9-A6CF-413970D26F90}"/>
    <cellStyle name="40% - Accent2 4 4 4" xfId="10021" xr:uid="{D78968A3-A2C7-4FF5-94B2-7575A9C1E23F}"/>
    <cellStyle name="40% - Accent2 4 4 5" xfId="18450" xr:uid="{8687C517-361F-4C85-A0CE-D6F6AD675C18}"/>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7" xr:uid="{1E41A79F-6B4B-4025-8F79-F712D869A92B}"/>
    <cellStyle name="40% - Accent2 4 5 2 2 3" xfId="25225" xr:uid="{B32A540B-EA87-4AC2-A6F7-1C4F77C7328E}"/>
    <cellStyle name="40% - Accent2 4 5 2 3" xfId="12579" xr:uid="{F5DE130D-381A-4E69-91BF-3E6BE4C962E9}"/>
    <cellStyle name="40% - Accent2 4 5 2 4" xfId="21008" xr:uid="{9F5B1F2B-9507-4236-AA8D-1236E6F3AEF7}"/>
    <cellStyle name="40% - Accent2 4 5 3" xfId="6223" xr:uid="{00000000-0005-0000-0000-0000EA040000}"/>
    <cellStyle name="40% - Accent2 4 5 3 2" xfId="14652" xr:uid="{C27486C2-4F0C-4257-8189-189004731970}"/>
    <cellStyle name="40% - Accent2 4 5 3 3" xfId="23080" xr:uid="{9BF33FF4-57D5-4F19-8EB6-241B4D2DEA1C}"/>
    <cellStyle name="40% - Accent2 4 5 4" xfId="10434" xr:uid="{DD4B0538-9DE0-4838-8A8C-E9BCEB1CC95F}"/>
    <cellStyle name="40% - Accent2 4 5 5" xfId="18863" xr:uid="{36BC444A-39F3-49D2-8FAB-C1445AECEED6}"/>
    <cellStyle name="40% - Accent2 4 6" xfId="2328" xr:uid="{00000000-0005-0000-0000-0000EB040000}"/>
    <cellStyle name="40% - Accent2 4 6 2" xfId="6636" xr:uid="{00000000-0005-0000-0000-0000EC040000}"/>
    <cellStyle name="40% - Accent2 4 6 2 2" xfId="15065" xr:uid="{8F27DADD-3A78-4B98-99D1-5FDD2ACDE0AE}"/>
    <cellStyle name="40% - Accent2 4 6 2 3" xfId="23493" xr:uid="{01DD08BF-9D35-498A-B15C-CC74845EE4BA}"/>
    <cellStyle name="40% - Accent2 4 6 3" xfId="10847" xr:uid="{390E1188-CBBE-4B10-B272-EE8B27AA0053}"/>
    <cellStyle name="40% - Accent2 4 6 4" xfId="19276" xr:uid="{05AB8FCA-EE7C-4957-AE16-909E5E8AE2A5}"/>
    <cellStyle name="40% - Accent2 4 7" xfId="4570" xr:uid="{00000000-0005-0000-0000-0000ED040000}"/>
    <cellStyle name="40% - Accent2 4 7 2" xfId="12999" xr:uid="{1DCFB846-D64D-474C-BB1E-180DF2C5744A}"/>
    <cellStyle name="40% - Accent2 4 7 3" xfId="21427" xr:uid="{2410DBF5-43A8-4479-AB77-7A9728FD7EB3}"/>
    <cellStyle name="40% - Accent2 4 8" xfId="8781" xr:uid="{B9F8C3A2-48B9-461E-AADA-00BA87A82684}"/>
    <cellStyle name="40% - Accent2 4 9" xfId="17210" xr:uid="{A39DED1E-BB4C-4C80-B439-201D27039C93}"/>
    <cellStyle name="40% - Accent2 5" xfId="627" xr:uid="{00000000-0005-0000-0000-0000EE040000}"/>
    <cellStyle name="40% - Accent2 5 2" xfId="2898" xr:uid="{00000000-0005-0000-0000-0000EF040000}"/>
    <cellStyle name="40% - Accent2 5 2 2" xfId="7122" xr:uid="{00000000-0005-0000-0000-0000F0040000}"/>
    <cellStyle name="40% - Accent2 5 2 2 2" xfId="15551" xr:uid="{1E3AF799-5454-4248-8C24-16B71A9EB7D3}"/>
    <cellStyle name="40% - Accent2 5 2 2 3" xfId="23979" xr:uid="{2367D5AB-6CB5-4E47-A940-A6F8A80BBC51}"/>
    <cellStyle name="40% - Accent2 5 2 3" xfId="11333" xr:uid="{67FF326F-9AD6-4407-95F7-FFD3DFFBE1AD}"/>
    <cellStyle name="40% - Accent2 5 2 4" xfId="19762" xr:uid="{FC1E69F6-B609-4213-970A-450D79203642}"/>
    <cellStyle name="40% - Accent2 5 3" xfId="4977" xr:uid="{00000000-0005-0000-0000-0000F1040000}"/>
    <cellStyle name="40% - Accent2 5 3 2" xfId="13406" xr:uid="{2F8C8F5C-4129-4C0B-9DC5-FBAD83E2FD9D}"/>
    <cellStyle name="40% - Accent2 5 3 3" xfId="21834" xr:uid="{5CBC674B-EA31-42AC-9FEE-C1FA9E471D7C}"/>
    <cellStyle name="40% - Accent2 5 4" xfId="9188" xr:uid="{B22EB91C-DB5A-4147-97AC-8051ACA96573}"/>
    <cellStyle name="40% - Accent2 5 5" xfId="17617" xr:uid="{5B9F1501-27F1-4D8B-963D-EBE1963EDFD0}"/>
    <cellStyle name="40% - Accent2 6" xfId="1080" xr:uid="{00000000-0005-0000-0000-0000F2040000}"/>
    <cellStyle name="40% - Accent2 6 2" xfId="3311" xr:uid="{00000000-0005-0000-0000-0000F3040000}"/>
    <cellStyle name="40% - Accent2 6 2 2" xfId="7535" xr:uid="{00000000-0005-0000-0000-0000F4040000}"/>
    <cellStyle name="40% - Accent2 6 2 2 2" xfId="15964" xr:uid="{26F61FA1-4617-4460-8E42-591208A2BF26}"/>
    <cellStyle name="40% - Accent2 6 2 2 3" xfId="24392" xr:uid="{100F46F3-7BDB-44C2-B420-23EF1D60FBB3}"/>
    <cellStyle name="40% - Accent2 6 2 3" xfId="11746" xr:uid="{B42C6949-8CE5-4597-9454-E8DCF18CB5D2}"/>
    <cellStyle name="40% - Accent2 6 2 4" xfId="20175" xr:uid="{ADCBE70C-2579-4041-92F4-FD24EA731BE4}"/>
    <cellStyle name="40% - Accent2 6 3" xfId="5390" xr:uid="{00000000-0005-0000-0000-0000F5040000}"/>
    <cellStyle name="40% - Accent2 6 3 2" xfId="13819" xr:uid="{E1EEB9B4-FDA7-4FDF-8D0B-4CE090CD6DB9}"/>
    <cellStyle name="40% - Accent2 6 3 3" xfId="22247" xr:uid="{1CDA402B-7C8E-4ED8-A7F7-143F85B79C92}"/>
    <cellStyle name="40% - Accent2 6 4" xfId="9601" xr:uid="{0B75D6C3-0CDC-44B6-AB04-BF0137F1B59D}"/>
    <cellStyle name="40% - Accent2 6 5" xfId="18030" xr:uid="{8BDA468D-981D-44F4-BB12-2A45D6582405}"/>
    <cellStyle name="40% - Accent2 7" xfId="1494" xr:uid="{00000000-0005-0000-0000-0000F6040000}"/>
    <cellStyle name="40% - Accent2 7 2" xfId="3724" xr:uid="{00000000-0005-0000-0000-0000F7040000}"/>
    <cellStyle name="40% - Accent2 7 2 2" xfId="7948" xr:uid="{00000000-0005-0000-0000-0000F8040000}"/>
    <cellStyle name="40% - Accent2 7 2 2 2" xfId="16377" xr:uid="{8752004E-7FCE-48A6-B0B8-0AECD03DACDA}"/>
    <cellStyle name="40% - Accent2 7 2 2 3" xfId="24805" xr:uid="{6E9B1926-FBDC-4122-A448-3DFF53B2D2C6}"/>
    <cellStyle name="40% - Accent2 7 2 3" xfId="12159" xr:uid="{3679733C-5981-456D-9EB9-AB513E8BF04C}"/>
    <cellStyle name="40% - Accent2 7 2 4" xfId="20588" xr:uid="{BE329817-D396-4DC2-9BA3-3C44A137DEBE}"/>
    <cellStyle name="40% - Accent2 7 3" xfId="5803" xr:uid="{00000000-0005-0000-0000-0000F9040000}"/>
    <cellStyle name="40% - Accent2 7 3 2" xfId="14232" xr:uid="{8CE63E33-F62C-4EF0-85F0-C03AE9FCE307}"/>
    <cellStyle name="40% - Accent2 7 3 3" xfId="22660" xr:uid="{B4F81E68-02A8-414C-A007-6933CA1C0BBB}"/>
    <cellStyle name="40% - Accent2 7 4" xfId="10014" xr:uid="{B3B997EF-9619-4857-B9F1-94323D0874EC}"/>
    <cellStyle name="40% - Accent2 7 5" xfId="18443" xr:uid="{ED9F51BC-0739-4208-9468-BFB08CABCE26}"/>
    <cellStyle name="40% - Accent2 8" xfId="1908" xr:uid="{00000000-0005-0000-0000-0000FA040000}"/>
    <cellStyle name="40% - Accent2 8 2" xfId="4137" xr:uid="{00000000-0005-0000-0000-0000FB040000}"/>
    <cellStyle name="40% - Accent2 8 2 2" xfId="8361" xr:uid="{00000000-0005-0000-0000-0000FC040000}"/>
    <cellStyle name="40% - Accent2 8 2 2 2" xfId="16790" xr:uid="{96FB2938-E501-411E-B302-9E3C8C28E8C1}"/>
    <cellStyle name="40% - Accent2 8 2 2 3" xfId="25218" xr:uid="{8CA3C146-5367-41A7-AF64-C9234480D0E8}"/>
    <cellStyle name="40% - Accent2 8 2 3" xfId="12572" xr:uid="{62BFD7E1-C203-42BF-AC97-4698CA63C80D}"/>
    <cellStyle name="40% - Accent2 8 2 4" xfId="21001" xr:uid="{2DF43BDA-D320-44C2-8C56-9061B37FEF51}"/>
    <cellStyle name="40% - Accent2 8 3" xfId="6216" xr:uid="{00000000-0005-0000-0000-0000FD040000}"/>
    <cellStyle name="40% - Accent2 8 3 2" xfId="14645" xr:uid="{56A34303-A54A-48DA-8C20-2351F5B28D23}"/>
    <cellStyle name="40% - Accent2 8 3 3" xfId="23073" xr:uid="{9BF055CE-F056-45EC-BCE4-1FEF75E88568}"/>
    <cellStyle name="40% - Accent2 8 4" xfId="10427" xr:uid="{031FB3E1-EC5A-4E93-8E38-F3384C91F2CD}"/>
    <cellStyle name="40% - Accent2 8 5" xfId="18856" xr:uid="{1D458C64-E459-4A7B-83A9-B65EA5BB6C25}"/>
    <cellStyle name="40% - Accent2 9" xfId="2321" xr:uid="{00000000-0005-0000-0000-0000FE040000}"/>
    <cellStyle name="40% - Accent2 9 2" xfId="6629" xr:uid="{00000000-0005-0000-0000-0000FF040000}"/>
    <cellStyle name="40% - Accent2 9 2 2" xfId="15058" xr:uid="{DAAEE517-10FB-48A1-A046-98224804773B}"/>
    <cellStyle name="40% - Accent2 9 2 3" xfId="23486" xr:uid="{8A0431CD-137A-4D84-A95C-489C5DE7EFBF}"/>
    <cellStyle name="40% - Accent2 9 3" xfId="10840" xr:uid="{CEF7AB3B-CAB0-4C05-99B0-67278554A228}"/>
    <cellStyle name="40% - Accent2 9 4" xfId="19269" xr:uid="{25D3B568-6605-4C62-959F-4215CE7837DB}"/>
    <cellStyle name="40% - Accent3" xfId="65" builtinId="39" customBuiltin="1"/>
    <cellStyle name="40% - Accent3 10" xfId="4571" xr:uid="{00000000-0005-0000-0000-000001050000}"/>
    <cellStyle name="40% - Accent3 10 2" xfId="13000" xr:uid="{7CCB6103-7723-46A7-809B-40019E5CD4E3}"/>
    <cellStyle name="40% - Accent3 10 3" xfId="21428" xr:uid="{BAFA6E18-BAA0-4DF1-A987-6FA6DBBC264D}"/>
    <cellStyle name="40% - Accent3 11" xfId="8782" xr:uid="{798594BA-7606-4F75-8D7C-F61EFEF804A9}"/>
    <cellStyle name="40% - Accent3 12" xfId="17211" xr:uid="{CEEE4E48-532D-4333-9C0F-CB0A088297FD}"/>
    <cellStyle name="40% - Accent3 2" xfId="66" xr:uid="{00000000-0005-0000-0000-000002050000}"/>
    <cellStyle name="40% - Accent3 2 10" xfId="8783" xr:uid="{77CEBB2A-B201-4D2E-97B5-1AFCD7F7732C}"/>
    <cellStyle name="40% - Accent3 2 11" xfId="17212" xr:uid="{6498AFBE-4D95-4DE3-BDEA-11A0392B7307}"/>
    <cellStyle name="40% - Accent3 2 2" xfId="67" xr:uid="{00000000-0005-0000-0000-000003050000}"/>
    <cellStyle name="40% - Accent3 2 2 10" xfId="17213" xr:uid="{7BF13331-95DB-4BAC-96A0-E07BA00BCCFE}"/>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62" xr:uid="{1BAAEF48-4535-4971-A77E-FC900C4A676D}"/>
    <cellStyle name="40% - Accent3 2 2 2 2 2 2 3" xfId="23990" xr:uid="{23EF9767-164D-46B7-946D-4DBCCCA34BCB}"/>
    <cellStyle name="40% - Accent3 2 2 2 2 2 3" xfId="11344" xr:uid="{8F2D2011-0000-4204-91CE-26996DE3352C}"/>
    <cellStyle name="40% - Accent3 2 2 2 2 2 4" xfId="19773" xr:uid="{89FE36EE-00D0-4B27-A360-F6143515D20A}"/>
    <cellStyle name="40% - Accent3 2 2 2 2 3" xfId="4988" xr:uid="{00000000-0005-0000-0000-000008050000}"/>
    <cellStyle name="40% - Accent3 2 2 2 2 3 2" xfId="13417" xr:uid="{0B13393B-EE9A-4DC6-B5BF-BF1C7D6C758A}"/>
    <cellStyle name="40% - Accent3 2 2 2 2 3 3" xfId="21845" xr:uid="{E05D8047-D28A-4C2A-BA13-EF684F03DCC2}"/>
    <cellStyle name="40% - Accent3 2 2 2 2 4" xfId="9199" xr:uid="{0FE41C3B-4CAB-4A24-BCEB-D5FA77DF9835}"/>
    <cellStyle name="40% - Accent3 2 2 2 2 5" xfId="17628" xr:uid="{31118385-90E6-4060-90A1-134728054C36}"/>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75" xr:uid="{6D24020F-52E7-43BA-80CA-259399FC0CAB}"/>
    <cellStyle name="40% - Accent3 2 2 2 3 2 2 3" xfId="24403" xr:uid="{3A4F849E-4EF2-4753-A6D3-9BE019183FB2}"/>
    <cellStyle name="40% - Accent3 2 2 2 3 2 3" xfId="11757" xr:uid="{EFF67C30-1B5D-4B0C-8918-936345F406BC}"/>
    <cellStyle name="40% - Accent3 2 2 2 3 2 4" xfId="20186" xr:uid="{FD1A18AB-C11F-4F86-9377-60C642583E73}"/>
    <cellStyle name="40% - Accent3 2 2 2 3 3" xfId="5401" xr:uid="{00000000-0005-0000-0000-00000C050000}"/>
    <cellStyle name="40% - Accent3 2 2 2 3 3 2" xfId="13830" xr:uid="{2FA2EE0E-860B-4983-A752-A6F031367D9E}"/>
    <cellStyle name="40% - Accent3 2 2 2 3 3 3" xfId="22258" xr:uid="{8AAAD4CC-B115-4AFA-82D9-CD3310795714}"/>
    <cellStyle name="40% - Accent3 2 2 2 3 4" xfId="9612" xr:uid="{E8107B10-74CC-436B-BFDB-E70D48A3DBD3}"/>
    <cellStyle name="40% - Accent3 2 2 2 3 5" xfId="18041" xr:uid="{2A5C340F-149B-4F5E-A977-52F93877E24E}"/>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8" xr:uid="{7C6F2F36-3C9B-4374-A185-7DE94C26A36B}"/>
    <cellStyle name="40% - Accent3 2 2 2 4 2 2 3" xfId="24816" xr:uid="{A3B416F4-5491-453B-9FEB-E6F2EFB24803}"/>
    <cellStyle name="40% - Accent3 2 2 2 4 2 3" xfId="12170" xr:uid="{E36255E4-54F6-4FBF-B277-4C414DD9C9ED}"/>
    <cellStyle name="40% - Accent3 2 2 2 4 2 4" xfId="20599" xr:uid="{F7C4E16A-9A53-49F0-8001-CCD0EC4F13E4}"/>
    <cellStyle name="40% - Accent3 2 2 2 4 3" xfId="5814" xr:uid="{00000000-0005-0000-0000-000010050000}"/>
    <cellStyle name="40% - Accent3 2 2 2 4 3 2" xfId="14243" xr:uid="{871AFA57-0765-47D3-8EC5-BEAD662CE706}"/>
    <cellStyle name="40% - Accent3 2 2 2 4 3 3" xfId="22671" xr:uid="{4993160C-9278-4180-BCE6-A208A78F3BB3}"/>
    <cellStyle name="40% - Accent3 2 2 2 4 4" xfId="10025" xr:uid="{E1877035-2FDE-4F2D-8297-6BCA6BD4DCB1}"/>
    <cellStyle name="40% - Accent3 2 2 2 4 5" xfId="18454" xr:uid="{96D1E098-BC06-499A-92BC-7D42FD3ED93A}"/>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801" xr:uid="{AD4EEB32-1B0E-4DBA-AF6A-D88CDC594EDC}"/>
    <cellStyle name="40% - Accent3 2 2 2 5 2 2 3" xfId="25229" xr:uid="{AEB004D3-ED85-4985-9084-1218393A8C70}"/>
    <cellStyle name="40% - Accent3 2 2 2 5 2 3" xfId="12583" xr:uid="{F9FD60F7-0727-4FCC-AF33-A56F935F668A}"/>
    <cellStyle name="40% - Accent3 2 2 2 5 2 4" xfId="21012" xr:uid="{341E127C-FFAE-4176-A557-E11478D7D707}"/>
    <cellStyle name="40% - Accent3 2 2 2 5 3" xfId="6227" xr:uid="{00000000-0005-0000-0000-000014050000}"/>
    <cellStyle name="40% - Accent3 2 2 2 5 3 2" xfId="14656" xr:uid="{959C0B68-15D7-44EB-9B46-8F5A0FAB300D}"/>
    <cellStyle name="40% - Accent3 2 2 2 5 3 3" xfId="23084" xr:uid="{64982D2B-A4C7-44A2-B957-5A3546B1C7A5}"/>
    <cellStyle name="40% - Accent3 2 2 2 5 4" xfId="10438" xr:uid="{CDE47117-C8FA-4355-8C55-BCA689CA0A3C}"/>
    <cellStyle name="40% - Accent3 2 2 2 5 5" xfId="18867" xr:uid="{70E64B81-DEE6-4FAF-BC1E-10F2FC94FC78}"/>
    <cellStyle name="40% - Accent3 2 2 2 6" xfId="2332" xr:uid="{00000000-0005-0000-0000-000015050000}"/>
    <cellStyle name="40% - Accent3 2 2 2 6 2" xfId="6640" xr:uid="{00000000-0005-0000-0000-000016050000}"/>
    <cellStyle name="40% - Accent3 2 2 2 6 2 2" xfId="15069" xr:uid="{82515250-9DBE-4053-9846-38E8B80E7D73}"/>
    <cellStyle name="40% - Accent3 2 2 2 6 2 3" xfId="23497" xr:uid="{5E03F68C-93AD-449F-872A-A91EDE5B2B28}"/>
    <cellStyle name="40% - Accent3 2 2 2 6 3" xfId="10851" xr:uid="{5FC00B92-6A3B-48F7-AC7F-BE39CA16C8D2}"/>
    <cellStyle name="40% - Accent3 2 2 2 6 4" xfId="19280" xr:uid="{49F025B4-9B6F-45BB-AC74-5EFF66B085D4}"/>
    <cellStyle name="40% - Accent3 2 2 2 7" xfId="4574" xr:uid="{00000000-0005-0000-0000-000017050000}"/>
    <cellStyle name="40% - Accent3 2 2 2 7 2" xfId="13003" xr:uid="{C9D07B66-07BF-4B03-BCA3-DD0BFCD8E9BF}"/>
    <cellStyle name="40% - Accent3 2 2 2 7 3" xfId="21431" xr:uid="{7C960D56-9CED-4B45-A98E-8C15BAB135CD}"/>
    <cellStyle name="40% - Accent3 2 2 2 8" xfId="8785" xr:uid="{CA8F88B5-6312-4AA2-9042-9E5FB5D66DC9}"/>
    <cellStyle name="40% - Accent3 2 2 2 9" xfId="17214" xr:uid="{5A6A6B85-6F6C-48AE-9734-6E592476F212}"/>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61" xr:uid="{DA69D77D-D588-43E5-8908-356BBC824335}"/>
    <cellStyle name="40% - Accent3 2 2 3 2 2 3" xfId="23989" xr:uid="{33E7E1B8-8ADC-4871-910A-6BC990F612DA}"/>
    <cellStyle name="40% - Accent3 2 2 3 2 3" xfId="11343" xr:uid="{DB06B23A-5E76-4FBC-A47E-7306371E80EB}"/>
    <cellStyle name="40% - Accent3 2 2 3 2 4" xfId="19772" xr:uid="{0945CE39-8CD5-4B72-B0AF-EBA1E7798D3D}"/>
    <cellStyle name="40% - Accent3 2 2 3 3" xfId="4987" xr:uid="{00000000-0005-0000-0000-00001B050000}"/>
    <cellStyle name="40% - Accent3 2 2 3 3 2" xfId="13416" xr:uid="{EFDA1920-C482-4A97-A486-E1C8CAF62F94}"/>
    <cellStyle name="40% - Accent3 2 2 3 3 3" xfId="21844" xr:uid="{BF43BB04-2CBE-4735-B4F3-E69DC32DC4CE}"/>
    <cellStyle name="40% - Accent3 2 2 3 4" xfId="9198" xr:uid="{BB26F83B-1336-41B8-8C79-35867401C8C8}"/>
    <cellStyle name="40% - Accent3 2 2 3 5" xfId="17627" xr:uid="{F0841C1E-98E4-4D0A-AE90-A0F6E10DB6B2}"/>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74" xr:uid="{A0C5B338-07D8-42E9-AFF6-F2E5F9B8C583}"/>
    <cellStyle name="40% - Accent3 2 2 4 2 2 3" xfId="24402" xr:uid="{1D3BD43A-91F3-469D-9E5E-03A0323D53E2}"/>
    <cellStyle name="40% - Accent3 2 2 4 2 3" xfId="11756" xr:uid="{A803A01E-16EA-408E-8E20-26D5DA2E4D40}"/>
    <cellStyle name="40% - Accent3 2 2 4 2 4" xfId="20185" xr:uid="{0CD78A2D-8E9E-43C2-AAB2-FA20FB566A55}"/>
    <cellStyle name="40% - Accent3 2 2 4 3" xfId="5400" xr:uid="{00000000-0005-0000-0000-00001F050000}"/>
    <cellStyle name="40% - Accent3 2 2 4 3 2" xfId="13829" xr:uid="{8408D3C6-51C1-4FA1-A961-D9077287879E}"/>
    <cellStyle name="40% - Accent3 2 2 4 3 3" xfId="22257" xr:uid="{A448A896-22FD-4F2C-BC8C-416C3808DF47}"/>
    <cellStyle name="40% - Accent3 2 2 4 4" xfId="9611" xr:uid="{1B28B6D4-1AE2-4613-8AEC-E763300BEC40}"/>
    <cellStyle name="40% - Accent3 2 2 4 5" xfId="18040" xr:uid="{F7418927-F4E4-4EE3-B896-D0B34C7A8F1A}"/>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7" xr:uid="{C90573DC-1833-448B-8FD4-B450061FE978}"/>
    <cellStyle name="40% - Accent3 2 2 5 2 2 3" xfId="24815" xr:uid="{25588A22-B9D5-4FBE-B5A0-7C66B9FB6F22}"/>
    <cellStyle name="40% - Accent3 2 2 5 2 3" xfId="12169" xr:uid="{12243CE5-445A-4D22-B779-287D3F0F928F}"/>
    <cellStyle name="40% - Accent3 2 2 5 2 4" xfId="20598" xr:uid="{E09B8AB1-9031-44CA-9DFC-CB24FA53EDF9}"/>
    <cellStyle name="40% - Accent3 2 2 5 3" xfId="5813" xr:uid="{00000000-0005-0000-0000-000023050000}"/>
    <cellStyle name="40% - Accent3 2 2 5 3 2" xfId="14242" xr:uid="{EF5B3E34-CB26-4728-B680-4128B6A839A0}"/>
    <cellStyle name="40% - Accent3 2 2 5 3 3" xfId="22670" xr:uid="{1C5E3FDC-72A6-4333-993B-D9421F9D05F9}"/>
    <cellStyle name="40% - Accent3 2 2 5 4" xfId="10024" xr:uid="{DFC1506D-C6ED-481A-B8D0-6C1DF49A459D}"/>
    <cellStyle name="40% - Accent3 2 2 5 5" xfId="18453" xr:uid="{17092523-B497-4E57-9695-E08F8AF1FFA5}"/>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800" xr:uid="{50460CBA-69E0-4E33-8606-5D100BA91191}"/>
    <cellStyle name="40% - Accent3 2 2 6 2 2 3" xfId="25228" xr:uid="{A88D8ED0-C6BA-466E-BB30-3B3B54CAC313}"/>
    <cellStyle name="40% - Accent3 2 2 6 2 3" xfId="12582" xr:uid="{12FC8ACD-D817-4B31-A984-A7122F4E77AD}"/>
    <cellStyle name="40% - Accent3 2 2 6 2 4" xfId="21011" xr:uid="{34735447-50C4-4679-86F4-F9E6E3BAB632}"/>
    <cellStyle name="40% - Accent3 2 2 6 3" xfId="6226" xr:uid="{00000000-0005-0000-0000-000027050000}"/>
    <cellStyle name="40% - Accent3 2 2 6 3 2" xfId="14655" xr:uid="{3439BDEC-6282-4AE5-9F55-2C8C93346B33}"/>
    <cellStyle name="40% - Accent3 2 2 6 3 3" xfId="23083" xr:uid="{D1900E30-50DA-4D1F-A18B-2B0B5AEF1589}"/>
    <cellStyle name="40% - Accent3 2 2 6 4" xfId="10437" xr:uid="{6E2E5E72-9A59-4A8D-9CA0-EEFBD4C2A547}"/>
    <cellStyle name="40% - Accent3 2 2 6 5" xfId="18866" xr:uid="{B083C9AB-41BE-4542-A683-520EBA0FA105}"/>
    <cellStyle name="40% - Accent3 2 2 7" xfId="2331" xr:uid="{00000000-0005-0000-0000-000028050000}"/>
    <cellStyle name="40% - Accent3 2 2 7 2" xfId="6639" xr:uid="{00000000-0005-0000-0000-000029050000}"/>
    <cellStyle name="40% - Accent3 2 2 7 2 2" xfId="15068" xr:uid="{E63FF876-6CEA-4BA7-9550-1B9CB4FC7036}"/>
    <cellStyle name="40% - Accent3 2 2 7 2 3" xfId="23496" xr:uid="{64B0E01E-16EE-4609-B804-1860034D742C}"/>
    <cellStyle name="40% - Accent3 2 2 7 3" xfId="10850" xr:uid="{598F41A1-1A21-4B4E-A31C-0270986DF47F}"/>
    <cellStyle name="40% - Accent3 2 2 7 4" xfId="19279" xr:uid="{E5976E78-AD75-4F7E-BB1F-CC1D2B411E77}"/>
    <cellStyle name="40% - Accent3 2 2 8" xfId="4573" xr:uid="{00000000-0005-0000-0000-00002A050000}"/>
    <cellStyle name="40% - Accent3 2 2 8 2" xfId="13002" xr:uid="{8F57FC83-8598-477B-B726-F6730CE19654}"/>
    <cellStyle name="40% - Accent3 2 2 8 3" xfId="21430" xr:uid="{99FD441A-4A5E-4469-B494-3549F44C4227}"/>
    <cellStyle name="40% - Accent3 2 2 9" xfId="8784" xr:uid="{0FA33DCD-147B-4A1B-A54B-0D07DFF252D6}"/>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63" xr:uid="{C79C1CF3-5182-4A6E-BABF-6F66C347CD7D}"/>
    <cellStyle name="40% - Accent3 2 3 2 2 2 3" xfId="23991" xr:uid="{69922601-34AE-4A37-85C2-55AE0BE4D622}"/>
    <cellStyle name="40% - Accent3 2 3 2 2 3" xfId="11345" xr:uid="{0B5DAC34-0D40-4B77-A7E0-B6A231874EF0}"/>
    <cellStyle name="40% - Accent3 2 3 2 2 4" xfId="19774" xr:uid="{8FB777E6-5AE5-4565-A857-F646C570DF9B}"/>
    <cellStyle name="40% - Accent3 2 3 2 3" xfId="4989" xr:uid="{00000000-0005-0000-0000-00002F050000}"/>
    <cellStyle name="40% - Accent3 2 3 2 3 2" xfId="13418" xr:uid="{3B28C52F-6F25-458F-ABC4-04FF0944157D}"/>
    <cellStyle name="40% - Accent3 2 3 2 3 3" xfId="21846" xr:uid="{DE5EFD39-B3A7-437E-9F92-2D95FCE8A5A8}"/>
    <cellStyle name="40% - Accent3 2 3 2 4" xfId="9200" xr:uid="{681C0103-E37A-4F77-BEB1-65F6A594DC2F}"/>
    <cellStyle name="40% - Accent3 2 3 2 5" xfId="17629" xr:uid="{36CFEC1A-E440-40BE-A86D-C1BEE6EA7346}"/>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76" xr:uid="{65BF1840-2BF8-4DD0-9CF1-4118EA7E173C}"/>
    <cellStyle name="40% - Accent3 2 3 3 2 2 3" xfId="24404" xr:uid="{CCF437E6-33DF-4CF5-AD95-7EACCB13B4DA}"/>
    <cellStyle name="40% - Accent3 2 3 3 2 3" xfId="11758" xr:uid="{DAC3BAB0-4007-4483-B009-B49531A0A799}"/>
    <cellStyle name="40% - Accent3 2 3 3 2 4" xfId="20187" xr:uid="{F7C81CDE-1E68-4A66-87D3-9516DFACEAEB}"/>
    <cellStyle name="40% - Accent3 2 3 3 3" xfId="5402" xr:uid="{00000000-0005-0000-0000-000033050000}"/>
    <cellStyle name="40% - Accent3 2 3 3 3 2" xfId="13831" xr:uid="{06309125-7159-4965-B129-A10A4E90915F}"/>
    <cellStyle name="40% - Accent3 2 3 3 3 3" xfId="22259" xr:uid="{2E7A33B3-8C8D-41FC-BCBB-458224B795B0}"/>
    <cellStyle name="40% - Accent3 2 3 3 4" xfId="9613" xr:uid="{90BDA199-644C-4807-9539-6321DA41EBDC}"/>
    <cellStyle name="40% - Accent3 2 3 3 5" xfId="18042" xr:uid="{68B2928E-E4C6-4EA5-B980-CFA2DC2A7619}"/>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9" xr:uid="{AB6AB753-C171-4E42-AC61-F8A1F2D490FF}"/>
    <cellStyle name="40% - Accent3 2 3 4 2 2 3" xfId="24817" xr:uid="{57DFA19D-FA31-4D73-8148-3C4DFE2A1748}"/>
    <cellStyle name="40% - Accent3 2 3 4 2 3" xfId="12171" xr:uid="{1714CF80-3A3D-496D-ADA4-14A99A4F402D}"/>
    <cellStyle name="40% - Accent3 2 3 4 2 4" xfId="20600" xr:uid="{54FFF99C-AC17-4BD4-A4FE-8C3C3F78E3E0}"/>
    <cellStyle name="40% - Accent3 2 3 4 3" xfId="5815" xr:uid="{00000000-0005-0000-0000-000037050000}"/>
    <cellStyle name="40% - Accent3 2 3 4 3 2" xfId="14244" xr:uid="{569BECFA-2299-4A57-8D18-A3266131F257}"/>
    <cellStyle name="40% - Accent3 2 3 4 3 3" xfId="22672" xr:uid="{D3C66AED-6D6D-4801-9057-77EBE96A74EF}"/>
    <cellStyle name="40% - Accent3 2 3 4 4" xfId="10026" xr:uid="{CBF894A0-986F-4E9C-953A-BEF4E54F673A}"/>
    <cellStyle name="40% - Accent3 2 3 4 5" xfId="18455" xr:uid="{A4A6FDA0-F02F-4AF9-8DA0-7E47130297D4}"/>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802" xr:uid="{4D550E0E-CC1F-4F63-9441-B03A3FA73A67}"/>
    <cellStyle name="40% - Accent3 2 3 5 2 2 3" xfId="25230" xr:uid="{CCE1A483-9FE3-4EDA-A3E9-5985BA6CD031}"/>
    <cellStyle name="40% - Accent3 2 3 5 2 3" xfId="12584" xr:uid="{15BC6853-D413-41BE-BC82-BA8602C7B2B0}"/>
    <cellStyle name="40% - Accent3 2 3 5 2 4" xfId="21013" xr:uid="{DB8DD2CA-C673-48A2-9782-BAA9C8495958}"/>
    <cellStyle name="40% - Accent3 2 3 5 3" xfId="6228" xr:uid="{00000000-0005-0000-0000-00003B050000}"/>
    <cellStyle name="40% - Accent3 2 3 5 3 2" xfId="14657" xr:uid="{4D123719-3101-4A83-B0E8-5F5E43C243EF}"/>
    <cellStyle name="40% - Accent3 2 3 5 3 3" xfId="23085" xr:uid="{A3D8D895-4946-47B9-B508-05A19ABCABED}"/>
    <cellStyle name="40% - Accent3 2 3 5 4" xfId="10439" xr:uid="{7E9F11DE-8979-4B45-BA0C-E46169EB33E8}"/>
    <cellStyle name="40% - Accent3 2 3 5 5" xfId="18868" xr:uid="{9939A909-081A-4BC0-9B9C-B86C0FB05329}"/>
    <cellStyle name="40% - Accent3 2 3 6" xfId="2333" xr:uid="{00000000-0005-0000-0000-00003C050000}"/>
    <cellStyle name="40% - Accent3 2 3 6 2" xfId="6641" xr:uid="{00000000-0005-0000-0000-00003D050000}"/>
    <cellStyle name="40% - Accent3 2 3 6 2 2" xfId="15070" xr:uid="{3AC6EE25-1F42-4AD7-9457-8F966924C776}"/>
    <cellStyle name="40% - Accent3 2 3 6 2 3" xfId="23498" xr:uid="{AA33708C-E9B3-44F8-A9CE-4452737806EA}"/>
    <cellStyle name="40% - Accent3 2 3 6 3" xfId="10852" xr:uid="{7E46448C-279B-490B-BF48-9094869056EE}"/>
    <cellStyle name="40% - Accent3 2 3 6 4" xfId="19281" xr:uid="{8608F6CA-C5E9-4D05-AEF7-719BA83DCDA6}"/>
    <cellStyle name="40% - Accent3 2 3 7" xfId="4575" xr:uid="{00000000-0005-0000-0000-00003E050000}"/>
    <cellStyle name="40% - Accent3 2 3 7 2" xfId="13004" xr:uid="{035A74AD-848E-4A79-AAA1-50A366C589D0}"/>
    <cellStyle name="40% - Accent3 2 3 7 3" xfId="21432" xr:uid="{45C46048-F648-4CA6-B813-74EDC5BF2340}"/>
    <cellStyle name="40% - Accent3 2 3 8" xfId="8786" xr:uid="{454EF6C8-473D-452C-AA45-FFCD1800CC8B}"/>
    <cellStyle name="40% - Accent3 2 3 9" xfId="17215" xr:uid="{FCCF374A-BCE6-4B5C-B870-D6D64AB57404}"/>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60" xr:uid="{9474ED17-41F6-4EA4-B02F-9013A77C0248}"/>
    <cellStyle name="40% - Accent3 2 4 2 2 3" xfId="23988" xr:uid="{599249FA-D9E7-4870-BC58-8A7D5DCEF8A6}"/>
    <cellStyle name="40% - Accent3 2 4 2 3" xfId="11342" xr:uid="{5F378217-D67B-429D-966C-2C5DF3431859}"/>
    <cellStyle name="40% - Accent3 2 4 2 4" xfId="19771" xr:uid="{9C88D32F-28FF-4268-A4FB-CFE8145F20B7}"/>
    <cellStyle name="40% - Accent3 2 4 3" xfId="4986" xr:uid="{00000000-0005-0000-0000-000042050000}"/>
    <cellStyle name="40% - Accent3 2 4 3 2" xfId="13415" xr:uid="{AECF17EB-8508-48B3-8D1E-285B90B282DD}"/>
    <cellStyle name="40% - Accent3 2 4 3 3" xfId="21843" xr:uid="{D6441F52-B498-4931-B8FB-751BDB7C3CED}"/>
    <cellStyle name="40% - Accent3 2 4 4" xfId="9197" xr:uid="{2167B0A5-15E2-4CDC-90F6-55947D98433F}"/>
    <cellStyle name="40% - Accent3 2 4 5" xfId="17626" xr:uid="{DD31EA05-515E-43E6-B271-E6661863D9D4}"/>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73" xr:uid="{3D60EA1A-805E-45B4-BBCF-B9F3C8B150D8}"/>
    <cellStyle name="40% - Accent3 2 5 2 2 3" xfId="24401" xr:uid="{424F60D0-5EF9-41C4-A05C-96484BA83C65}"/>
    <cellStyle name="40% - Accent3 2 5 2 3" xfId="11755" xr:uid="{625782F1-B2A6-4197-A578-F6348E8591FA}"/>
    <cellStyle name="40% - Accent3 2 5 2 4" xfId="20184" xr:uid="{7A7A4474-10FE-4E63-A421-B3717938360D}"/>
    <cellStyle name="40% - Accent3 2 5 3" xfId="5399" xr:uid="{00000000-0005-0000-0000-000046050000}"/>
    <cellStyle name="40% - Accent3 2 5 3 2" xfId="13828" xr:uid="{F181D30C-5387-4A1A-8327-70C336676ABD}"/>
    <cellStyle name="40% - Accent3 2 5 3 3" xfId="22256" xr:uid="{18F075BA-A1E0-4002-B254-117ABA2D2B97}"/>
    <cellStyle name="40% - Accent3 2 5 4" xfId="9610" xr:uid="{5B7CE317-0150-4644-BBE6-56AD2228D374}"/>
    <cellStyle name="40% - Accent3 2 5 5" xfId="18039" xr:uid="{9B189138-38EB-4B36-AF31-984D94DD770E}"/>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86" xr:uid="{9925B07C-2748-4DCA-8627-61DFEF518FDF}"/>
    <cellStyle name="40% - Accent3 2 6 2 2 3" xfId="24814" xr:uid="{13B2EC05-DE58-4BFB-9B02-09ED0611DD25}"/>
    <cellStyle name="40% - Accent3 2 6 2 3" xfId="12168" xr:uid="{EF4E273B-539B-40E6-9851-79AB4D6B04F4}"/>
    <cellStyle name="40% - Accent3 2 6 2 4" xfId="20597" xr:uid="{BA55F2ED-BA69-4890-B32E-78C709E493AD}"/>
    <cellStyle name="40% - Accent3 2 6 3" xfId="5812" xr:uid="{00000000-0005-0000-0000-00004A050000}"/>
    <cellStyle name="40% - Accent3 2 6 3 2" xfId="14241" xr:uid="{74706261-FC40-4822-AA3C-D3A8B45FF0FB}"/>
    <cellStyle name="40% - Accent3 2 6 3 3" xfId="22669" xr:uid="{F272AA94-1C06-453F-9BAA-100AB9062F70}"/>
    <cellStyle name="40% - Accent3 2 6 4" xfId="10023" xr:uid="{D9E2AADB-D2AE-4DAC-B009-9F4FA4A8AB8D}"/>
    <cellStyle name="40% - Accent3 2 6 5" xfId="18452" xr:uid="{A5AF3B0F-421E-42CB-B5C3-5EB1242F09AB}"/>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9" xr:uid="{5ACAE752-182C-4300-A9C6-DB0BB7F1B84D}"/>
    <cellStyle name="40% - Accent3 2 7 2 2 3" xfId="25227" xr:uid="{3EA0E112-3CF8-45E1-83A1-64DD697C82C6}"/>
    <cellStyle name="40% - Accent3 2 7 2 3" xfId="12581" xr:uid="{1F1542A9-72DD-45CF-9958-8BAE0F85E59A}"/>
    <cellStyle name="40% - Accent3 2 7 2 4" xfId="21010" xr:uid="{3D0B4C5E-9C9B-4639-A632-47DD10CA9D35}"/>
    <cellStyle name="40% - Accent3 2 7 3" xfId="6225" xr:uid="{00000000-0005-0000-0000-00004E050000}"/>
    <cellStyle name="40% - Accent3 2 7 3 2" xfId="14654" xr:uid="{17190DB2-A222-4D4E-A38B-EF466418AEA5}"/>
    <cellStyle name="40% - Accent3 2 7 3 3" xfId="23082" xr:uid="{BA447B22-A049-4731-A0CE-B675088731D0}"/>
    <cellStyle name="40% - Accent3 2 7 4" xfId="10436" xr:uid="{E0E5FB6F-258A-4119-8067-3A6B9066C1D2}"/>
    <cellStyle name="40% - Accent3 2 7 5" xfId="18865" xr:uid="{64BE2942-ED7E-401C-82A2-C51866D6A7EC}"/>
    <cellStyle name="40% - Accent3 2 8" xfId="2330" xr:uid="{00000000-0005-0000-0000-00004F050000}"/>
    <cellStyle name="40% - Accent3 2 8 2" xfId="6638" xr:uid="{00000000-0005-0000-0000-000050050000}"/>
    <cellStyle name="40% - Accent3 2 8 2 2" xfId="15067" xr:uid="{19EB8E32-25AE-475C-A147-043621FAF4A1}"/>
    <cellStyle name="40% - Accent3 2 8 2 3" xfId="23495" xr:uid="{A27DAAA0-059A-4ED5-B8A9-01FDEEC6EB90}"/>
    <cellStyle name="40% - Accent3 2 8 3" xfId="10849" xr:uid="{0FC11087-89DE-4CDF-B9D6-F71FBAB559DC}"/>
    <cellStyle name="40% - Accent3 2 8 4" xfId="19278" xr:uid="{A3B68EDF-404C-4080-BFEB-7E6E1CF54747}"/>
    <cellStyle name="40% - Accent3 2 9" xfId="4572" xr:uid="{00000000-0005-0000-0000-000051050000}"/>
    <cellStyle name="40% - Accent3 2 9 2" xfId="13001" xr:uid="{95EDB9C5-515E-462A-8655-F153377FCB65}"/>
    <cellStyle name="40% - Accent3 2 9 3" xfId="21429" xr:uid="{FFF1B441-48D1-4ADC-83B1-B33DD25C0AF4}"/>
    <cellStyle name="40% - Accent3 3" xfId="70" xr:uid="{00000000-0005-0000-0000-000052050000}"/>
    <cellStyle name="40% - Accent3 3 10" xfId="17216" xr:uid="{080B1591-F2EF-407C-88E5-18CE0CAEF941}"/>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65" xr:uid="{EDCC05AF-86FE-4443-A34D-F65C76A40B77}"/>
    <cellStyle name="40% - Accent3 3 2 2 2 2 3" xfId="23993" xr:uid="{A8C8C6DA-AF7C-4F8C-B6F3-24BD8A78C5F5}"/>
    <cellStyle name="40% - Accent3 3 2 2 2 3" xfId="11347" xr:uid="{6D9C81F8-D18B-4ACA-AD83-0C602D9EFEE4}"/>
    <cellStyle name="40% - Accent3 3 2 2 2 4" xfId="19776" xr:uid="{61FEBF2C-4FD2-49A8-93A8-C50CF3C7F347}"/>
    <cellStyle name="40% - Accent3 3 2 2 3" xfId="4991" xr:uid="{00000000-0005-0000-0000-000057050000}"/>
    <cellStyle name="40% - Accent3 3 2 2 3 2" xfId="13420" xr:uid="{6C1D045C-A145-4A90-8FBE-499D7AB99C5E}"/>
    <cellStyle name="40% - Accent3 3 2 2 3 3" xfId="21848" xr:uid="{C618B224-93E0-4CE6-A510-6AAD0FA70A56}"/>
    <cellStyle name="40% - Accent3 3 2 2 4" xfId="9202" xr:uid="{A0BA815A-CB1A-410B-9A61-C659F5223BA2}"/>
    <cellStyle name="40% - Accent3 3 2 2 5" xfId="17631" xr:uid="{0DE56BE6-B9E8-419A-A8DB-BAF1677BE8CD}"/>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8" xr:uid="{B571F479-C801-40BC-8763-93364C44136C}"/>
    <cellStyle name="40% - Accent3 3 2 3 2 2 3" xfId="24406" xr:uid="{3B303AC1-9E7D-4144-AED4-AE887162D5A3}"/>
    <cellStyle name="40% - Accent3 3 2 3 2 3" xfId="11760" xr:uid="{127B4841-54E2-448C-A35C-327867A1A63B}"/>
    <cellStyle name="40% - Accent3 3 2 3 2 4" xfId="20189" xr:uid="{6241BB00-6446-45B2-AECB-0C35CCD6E7A0}"/>
    <cellStyle name="40% - Accent3 3 2 3 3" xfId="5404" xr:uid="{00000000-0005-0000-0000-00005B050000}"/>
    <cellStyle name="40% - Accent3 3 2 3 3 2" xfId="13833" xr:uid="{842D43A5-3AF8-4BB4-BCD3-11179D93EE86}"/>
    <cellStyle name="40% - Accent3 3 2 3 3 3" xfId="22261" xr:uid="{CF72780C-92B8-40FB-80DF-0D08193C1E64}"/>
    <cellStyle name="40% - Accent3 3 2 3 4" xfId="9615" xr:uid="{6977A71D-3788-4300-B88E-91F2A718BB22}"/>
    <cellStyle name="40% - Accent3 3 2 3 5" xfId="18044" xr:uid="{DEC482B2-094E-4B42-AC30-0A018E79F133}"/>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91" xr:uid="{CECAB15D-468F-4E73-BAEE-7BB11F5BE4C1}"/>
    <cellStyle name="40% - Accent3 3 2 4 2 2 3" xfId="24819" xr:uid="{27715548-7B94-4998-8EAB-E0F4EF790E68}"/>
    <cellStyle name="40% - Accent3 3 2 4 2 3" xfId="12173" xr:uid="{B9E7C279-30E3-4EE4-8B05-18119BED6F56}"/>
    <cellStyle name="40% - Accent3 3 2 4 2 4" xfId="20602" xr:uid="{9DA31A3B-D721-4D7D-9D7E-9A0EBA595272}"/>
    <cellStyle name="40% - Accent3 3 2 4 3" xfId="5817" xr:uid="{00000000-0005-0000-0000-00005F050000}"/>
    <cellStyle name="40% - Accent3 3 2 4 3 2" xfId="14246" xr:uid="{4AD02EFA-7843-41BB-91FC-71A6B7F3D966}"/>
    <cellStyle name="40% - Accent3 3 2 4 3 3" xfId="22674" xr:uid="{B92B99D0-6274-439C-AB43-84D7A8984F37}"/>
    <cellStyle name="40% - Accent3 3 2 4 4" xfId="10028" xr:uid="{BB1C0624-7F2F-4ABE-B7F9-60A0EA0B587B}"/>
    <cellStyle name="40% - Accent3 3 2 4 5" xfId="18457" xr:uid="{7BC960F2-5BEC-495C-BEFA-B52383AB6FFB}"/>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804" xr:uid="{3D855530-4C6B-4835-ACDD-D2DC20DF706E}"/>
    <cellStyle name="40% - Accent3 3 2 5 2 2 3" xfId="25232" xr:uid="{B9DDEC8F-B5A5-4E17-8B5C-71E9CB7A0DA8}"/>
    <cellStyle name="40% - Accent3 3 2 5 2 3" xfId="12586" xr:uid="{D1F1AF35-7D9F-4465-84AC-C9986E05E575}"/>
    <cellStyle name="40% - Accent3 3 2 5 2 4" xfId="21015" xr:uid="{4B900BCC-927B-477B-986D-A17609405D65}"/>
    <cellStyle name="40% - Accent3 3 2 5 3" xfId="6230" xr:uid="{00000000-0005-0000-0000-000063050000}"/>
    <cellStyle name="40% - Accent3 3 2 5 3 2" xfId="14659" xr:uid="{549D3418-8BBA-41FA-B79F-B77A3D58E008}"/>
    <cellStyle name="40% - Accent3 3 2 5 3 3" xfId="23087" xr:uid="{899E3A9F-07AF-4ED9-824C-0520B3020D3F}"/>
    <cellStyle name="40% - Accent3 3 2 5 4" xfId="10441" xr:uid="{29640206-8270-482D-96D0-890D8944D355}"/>
    <cellStyle name="40% - Accent3 3 2 5 5" xfId="18870" xr:uid="{3576796C-FADD-4874-9F6F-AAE633811A0C}"/>
    <cellStyle name="40% - Accent3 3 2 6" xfId="2335" xr:uid="{00000000-0005-0000-0000-000064050000}"/>
    <cellStyle name="40% - Accent3 3 2 6 2" xfId="6643" xr:uid="{00000000-0005-0000-0000-000065050000}"/>
    <cellStyle name="40% - Accent3 3 2 6 2 2" xfId="15072" xr:uid="{56B22BD9-C7B9-4F25-9108-3F7560D2B7FF}"/>
    <cellStyle name="40% - Accent3 3 2 6 2 3" xfId="23500" xr:uid="{8CE6AB20-DC2A-433A-9BCC-02673A13DEAB}"/>
    <cellStyle name="40% - Accent3 3 2 6 3" xfId="10854" xr:uid="{36A35C78-A4E6-49C4-9EE5-AB981F639629}"/>
    <cellStyle name="40% - Accent3 3 2 6 4" xfId="19283" xr:uid="{F402BC17-4400-483C-A22B-0DDA7E6BFB44}"/>
    <cellStyle name="40% - Accent3 3 2 7" xfId="4577" xr:uid="{00000000-0005-0000-0000-000066050000}"/>
    <cellStyle name="40% - Accent3 3 2 7 2" xfId="13006" xr:uid="{3D0094D0-3A02-4A44-A6CD-038FE453A566}"/>
    <cellStyle name="40% - Accent3 3 2 7 3" xfId="21434" xr:uid="{B6116884-A8A8-4DEA-B2AE-8691B715368B}"/>
    <cellStyle name="40% - Accent3 3 2 8" xfId="8788" xr:uid="{6A866F26-91F7-41D7-BD30-4E53A814037E}"/>
    <cellStyle name="40% - Accent3 3 2 9" xfId="17217" xr:uid="{9521E1C8-A154-4146-BCA4-F1AB400F8C80}"/>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64" xr:uid="{AAAD350A-5B69-4C59-8B72-B22B7CC962C3}"/>
    <cellStyle name="40% - Accent3 3 3 2 2 3" xfId="23992" xr:uid="{B1555F9A-7AE0-4A56-9599-8C0ABA0C6886}"/>
    <cellStyle name="40% - Accent3 3 3 2 3" xfId="11346" xr:uid="{5D852585-60B0-43BE-BD6C-E55A7B7C3A15}"/>
    <cellStyle name="40% - Accent3 3 3 2 4" xfId="19775" xr:uid="{8C9447E5-CEA5-4ABA-A1CB-29576DA3F2E3}"/>
    <cellStyle name="40% - Accent3 3 3 3" xfId="4990" xr:uid="{00000000-0005-0000-0000-00006A050000}"/>
    <cellStyle name="40% - Accent3 3 3 3 2" xfId="13419" xr:uid="{9D5D5431-8B3E-4364-BAC6-D181158C3A52}"/>
    <cellStyle name="40% - Accent3 3 3 3 3" xfId="21847" xr:uid="{5123B8F2-07BC-4237-8AC5-51D1F48B4C13}"/>
    <cellStyle name="40% - Accent3 3 3 4" xfId="9201" xr:uid="{B39A472C-728B-4CA4-9D14-6E86FF436EC0}"/>
    <cellStyle name="40% - Accent3 3 3 5" xfId="17630" xr:uid="{03DCC052-93AC-4A08-8D1B-DB48335FD178}"/>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7" xr:uid="{6622339E-7A8D-4A74-BEE4-74BD625ADD13}"/>
    <cellStyle name="40% - Accent3 3 4 2 2 3" xfId="24405" xr:uid="{25703EE9-3EDE-4D3B-88E1-25D948B9FA9E}"/>
    <cellStyle name="40% - Accent3 3 4 2 3" xfId="11759" xr:uid="{AFA54410-CA03-4387-8840-D42F4FC2889B}"/>
    <cellStyle name="40% - Accent3 3 4 2 4" xfId="20188" xr:uid="{E75B69D9-2F95-4968-9C7E-F6EF3DFEB3E6}"/>
    <cellStyle name="40% - Accent3 3 4 3" xfId="5403" xr:uid="{00000000-0005-0000-0000-00006E050000}"/>
    <cellStyle name="40% - Accent3 3 4 3 2" xfId="13832" xr:uid="{512AA745-26D7-4583-90B0-9585CBE04314}"/>
    <cellStyle name="40% - Accent3 3 4 3 3" xfId="22260" xr:uid="{B9526F61-9D3B-46B2-9F7C-726C75936F8B}"/>
    <cellStyle name="40% - Accent3 3 4 4" xfId="9614" xr:uid="{891EFA2A-4F0C-4D34-9BAB-1D77A2E0F792}"/>
    <cellStyle name="40% - Accent3 3 4 5" xfId="18043" xr:uid="{39C86CF9-DD2B-45A8-A3C8-7F84F875BC75}"/>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90" xr:uid="{7C93ED98-149B-4880-88B2-D2CA8A84A04B}"/>
    <cellStyle name="40% - Accent3 3 5 2 2 3" xfId="24818" xr:uid="{4414F305-95B2-444E-9897-C890030AD811}"/>
    <cellStyle name="40% - Accent3 3 5 2 3" xfId="12172" xr:uid="{1EBAD49F-9C18-4BC2-ADC5-95142956EE3C}"/>
    <cellStyle name="40% - Accent3 3 5 2 4" xfId="20601" xr:uid="{B1EC5A69-AA67-4143-B047-6327E1B2A283}"/>
    <cellStyle name="40% - Accent3 3 5 3" xfId="5816" xr:uid="{00000000-0005-0000-0000-000072050000}"/>
    <cellStyle name="40% - Accent3 3 5 3 2" xfId="14245" xr:uid="{EC40FFB5-415A-4135-8C47-53767DC406E0}"/>
    <cellStyle name="40% - Accent3 3 5 3 3" xfId="22673" xr:uid="{22932659-93ED-40C2-B25C-CC6A1ACAF3DE}"/>
    <cellStyle name="40% - Accent3 3 5 4" xfId="10027" xr:uid="{1D311804-2C28-4D16-A0AE-7F3BFB7B7A51}"/>
    <cellStyle name="40% - Accent3 3 5 5" xfId="18456" xr:uid="{0EE4EAA2-3163-410A-B976-9095D9E80A1C}"/>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803" xr:uid="{A7E2F290-194F-4C6C-8670-D45AB8AD6FAF}"/>
    <cellStyle name="40% - Accent3 3 6 2 2 3" xfId="25231" xr:uid="{436A7F85-7C42-4307-9639-8959B029C9AF}"/>
    <cellStyle name="40% - Accent3 3 6 2 3" xfId="12585" xr:uid="{8EB6B768-B6B2-4CBE-B085-66B0B8333BBD}"/>
    <cellStyle name="40% - Accent3 3 6 2 4" xfId="21014" xr:uid="{34835564-D58F-45DA-A738-5BABA2E461CC}"/>
    <cellStyle name="40% - Accent3 3 6 3" xfId="6229" xr:uid="{00000000-0005-0000-0000-000076050000}"/>
    <cellStyle name="40% - Accent3 3 6 3 2" xfId="14658" xr:uid="{AEA682B9-E1F1-4613-8EE2-47C4DC068BBC}"/>
    <cellStyle name="40% - Accent3 3 6 3 3" xfId="23086" xr:uid="{D7550B4E-9B77-4953-97CF-185EB7E79D1D}"/>
    <cellStyle name="40% - Accent3 3 6 4" xfId="10440" xr:uid="{D1B14886-8BF1-4092-9940-E310BBC525BB}"/>
    <cellStyle name="40% - Accent3 3 6 5" xfId="18869" xr:uid="{68C18FCB-A0A6-4E35-B111-9A5DB553ED23}"/>
    <cellStyle name="40% - Accent3 3 7" xfId="2334" xr:uid="{00000000-0005-0000-0000-000077050000}"/>
    <cellStyle name="40% - Accent3 3 7 2" xfId="6642" xr:uid="{00000000-0005-0000-0000-000078050000}"/>
    <cellStyle name="40% - Accent3 3 7 2 2" xfId="15071" xr:uid="{08E3866D-8D5E-4923-8506-95D995E89284}"/>
    <cellStyle name="40% - Accent3 3 7 2 3" xfId="23499" xr:uid="{47CFDEA3-C5FB-4A55-8C5E-70D4EB41C913}"/>
    <cellStyle name="40% - Accent3 3 7 3" xfId="10853" xr:uid="{316EF868-9544-4C65-92BA-D2D03E743864}"/>
    <cellStyle name="40% - Accent3 3 7 4" xfId="19282" xr:uid="{E28BCBA9-FA79-4149-B3AB-C87FDE7CE0EA}"/>
    <cellStyle name="40% - Accent3 3 8" xfId="4576" xr:uid="{00000000-0005-0000-0000-000079050000}"/>
    <cellStyle name="40% - Accent3 3 8 2" xfId="13005" xr:uid="{F91E4C88-973E-4293-B51A-42D9FB65816A}"/>
    <cellStyle name="40% - Accent3 3 8 3" xfId="21433" xr:uid="{43360C6A-436A-4FE9-8272-A7E4EC237BA5}"/>
    <cellStyle name="40% - Accent3 3 9" xfId="8787" xr:uid="{E92C6852-0766-468E-B076-D19A02573B4C}"/>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66" xr:uid="{DB5913CD-D3C0-46E5-ABDA-AA9733C69AE2}"/>
    <cellStyle name="40% - Accent3 4 2 2 2 3" xfId="23994" xr:uid="{C9B41674-ED15-4A0C-9429-23540E78B131}"/>
    <cellStyle name="40% - Accent3 4 2 2 3" xfId="11348" xr:uid="{63B6CCC6-37D3-4375-8ED7-EC674D90821E}"/>
    <cellStyle name="40% - Accent3 4 2 2 4" xfId="19777" xr:uid="{D22F4CEE-7A91-4741-BE16-E71627A715C6}"/>
    <cellStyle name="40% - Accent3 4 2 3" xfId="4992" xr:uid="{00000000-0005-0000-0000-00007E050000}"/>
    <cellStyle name="40% - Accent3 4 2 3 2" xfId="13421" xr:uid="{2380C4BF-25BA-4586-AEFB-75D0E3A9D6CB}"/>
    <cellStyle name="40% - Accent3 4 2 3 3" xfId="21849" xr:uid="{BCB9C5A4-3B8D-4860-83D2-A524CA520764}"/>
    <cellStyle name="40% - Accent3 4 2 4" xfId="9203" xr:uid="{8450AD34-49A6-44D5-9A5E-E333A0DC4DAF}"/>
    <cellStyle name="40% - Accent3 4 2 5" xfId="17632" xr:uid="{3D39C11B-DCBA-4537-AB80-D4644DB30FF8}"/>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9" xr:uid="{E2ADCC4E-060F-47A6-87FB-E70681541C38}"/>
    <cellStyle name="40% - Accent3 4 3 2 2 3" xfId="24407" xr:uid="{235BE962-4983-4E3A-AE9A-25476B7C4037}"/>
    <cellStyle name="40% - Accent3 4 3 2 3" xfId="11761" xr:uid="{F52D56E0-0803-42D5-AB5E-BE0FAE3BCFC0}"/>
    <cellStyle name="40% - Accent3 4 3 2 4" xfId="20190" xr:uid="{9EE9F9E7-DB1C-4360-A79D-D67835CCBB3C}"/>
    <cellStyle name="40% - Accent3 4 3 3" xfId="5405" xr:uid="{00000000-0005-0000-0000-000082050000}"/>
    <cellStyle name="40% - Accent3 4 3 3 2" xfId="13834" xr:uid="{6F430E68-A6DD-4867-802B-86F8213CC2D5}"/>
    <cellStyle name="40% - Accent3 4 3 3 3" xfId="22262" xr:uid="{940DE307-D7D5-46C5-955B-BE82E403AA55}"/>
    <cellStyle name="40% - Accent3 4 3 4" xfId="9616" xr:uid="{00D56B5F-BA83-4535-BF1E-9DDC4458DF24}"/>
    <cellStyle name="40% - Accent3 4 3 5" xfId="18045" xr:uid="{1D110E37-FB33-49C2-A731-88046EFCAF70}"/>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92" xr:uid="{3641019C-4BDD-4FB3-BF1D-D333F5819658}"/>
    <cellStyle name="40% - Accent3 4 4 2 2 3" xfId="24820" xr:uid="{0F458077-592C-432D-91A1-3A14E93F0434}"/>
    <cellStyle name="40% - Accent3 4 4 2 3" xfId="12174" xr:uid="{C994B785-E8A4-4CF2-A828-204EAB8C6486}"/>
    <cellStyle name="40% - Accent3 4 4 2 4" xfId="20603" xr:uid="{CD109D7B-390F-4891-85A7-DC9721282134}"/>
    <cellStyle name="40% - Accent3 4 4 3" xfId="5818" xr:uid="{00000000-0005-0000-0000-000086050000}"/>
    <cellStyle name="40% - Accent3 4 4 3 2" xfId="14247" xr:uid="{4CEDB205-2348-4CB3-B719-BEE24F790E93}"/>
    <cellStyle name="40% - Accent3 4 4 3 3" xfId="22675" xr:uid="{1C53E01E-14E6-49C4-9038-575DB15AAF57}"/>
    <cellStyle name="40% - Accent3 4 4 4" xfId="10029" xr:uid="{66DDFCCF-952A-487F-A13E-34D717A8AB58}"/>
    <cellStyle name="40% - Accent3 4 4 5" xfId="18458" xr:uid="{1E68E741-14F8-4E20-A0DB-998FE4FFB550}"/>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805" xr:uid="{BDB6BC19-08C5-44A9-ADA6-EF8F78C5FC99}"/>
    <cellStyle name="40% - Accent3 4 5 2 2 3" xfId="25233" xr:uid="{E86A15C9-A939-4B35-9EAF-BEF9A0CCCDD9}"/>
    <cellStyle name="40% - Accent3 4 5 2 3" xfId="12587" xr:uid="{22909B32-8AAD-45C8-B0BE-BFC8D9757E57}"/>
    <cellStyle name="40% - Accent3 4 5 2 4" xfId="21016" xr:uid="{7C1E98FF-55B8-47CF-9668-8A2856FC2377}"/>
    <cellStyle name="40% - Accent3 4 5 3" xfId="6231" xr:uid="{00000000-0005-0000-0000-00008A050000}"/>
    <cellStyle name="40% - Accent3 4 5 3 2" xfId="14660" xr:uid="{DCA77665-9B0F-4284-9B74-FFC04CEE6641}"/>
    <cellStyle name="40% - Accent3 4 5 3 3" xfId="23088" xr:uid="{578BDAA0-FEEC-4FDC-9237-A4BBB462B63A}"/>
    <cellStyle name="40% - Accent3 4 5 4" xfId="10442" xr:uid="{2184B237-C626-4E2C-B826-81AF008044A2}"/>
    <cellStyle name="40% - Accent3 4 5 5" xfId="18871" xr:uid="{221A6B1A-143F-423D-9DAF-32B343C6F2B2}"/>
    <cellStyle name="40% - Accent3 4 6" xfId="2336" xr:uid="{00000000-0005-0000-0000-00008B050000}"/>
    <cellStyle name="40% - Accent3 4 6 2" xfId="6644" xr:uid="{00000000-0005-0000-0000-00008C050000}"/>
    <cellStyle name="40% - Accent3 4 6 2 2" xfId="15073" xr:uid="{268BF57F-9B0D-49CE-AF4B-9E0FEBB68A14}"/>
    <cellStyle name="40% - Accent3 4 6 2 3" xfId="23501" xr:uid="{A61C4116-937C-413C-B68B-79B36D6A8674}"/>
    <cellStyle name="40% - Accent3 4 6 3" xfId="10855" xr:uid="{D1A7A9E2-E732-4594-AE55-43B034F8A7C8}"/>
    <cellStyle name="40% - Accent3 4 6 4" xfId="19284" xr:uid="{FAFFD34B-9DBC-4B89-AEC3-EF9A83496D21}"/>
    <cellStyle name="40% - Accent3 4 7" xfId="4578" xr:uid="{00000000-0005-0000-0000-00008D050000}"/>
    <cellStyle name="40% - Accent3 4 7 2" xfId="13007" xr:uid="{675546B2-D609-43C4-A200-441FDA036B88}"/>
    <cellStyle name="40% - Accent3 4 7 3" xfId="21435" xr:uid="{658E6FB4-1562-4161-BD46-66325C127047}"/>
    <cellStyle name="40% - Accent3 4 8" xfId="8789" xr:uid="{207E6385-FFF7-4F85-8777-0A78D839B07B}"/>
    <cellStyle name="40% - Accent3 4 9" xfId="17218" xr:uid="{0B416815-0552-4652-9C80-080308B07670}"/>
    <cellStyle name="40% - Accent3 5" xfId="635" xr:uid="{00000000-0005-0000-0000-00008E050000}"/>
    <cellStyle name="40% - Accent3 5 2" xfId="2906" xr:uid="{00000000-0005-0000-0000-00008F050000}"/>
    <cellStyle name="40% - Accent3 5 2 2" xfId="7130" xr:uid="{00000000-0005-0000-0000-000090050000}"/>
    <cellStyle name="40% - Accent3 5 2 2 2" xfId="15559" xr:uid="{3D4BDDF5-6ACF-4CB9-9AF8-D072D3D43F5D}"/>
    <cellStyle name="40% - Accent3 5 2 2 3" xfId="23987" xr:uid="{F8B78630-3270-4E6F-87D7-4B7591C4F286}"/>
    <cellStyle name="40% - Accent3 5 2 3" xfId="11341" xr:uid="{40FF2543-E8D3-4533-ADE5-8811CCE9CC60}"/>
    <cellStyle name="40% - Accent3 5 2 4" xfId="19770" xr:uid="{8A66851C-34DB-4657-AA61-2ABA59DE1D1F}"/>
    <cellStyle name="40% - Accent3 5 3" xfId="4985" xr:uid="{00000000-0005-0000-0000-000091050000}"/>
    <cellStyle name="40% - Accent3 5 3 2" xfId="13414" xr:uid="{8141338B-ED1C-47AD-806D-06914E1A590A}"/>
    <cellStyle name="40% - Accent3 5 3 3" xfId="21842" xr:uid="{B26AE806-4B98-4431-9584-9AAF3A5C9C18}"/>
    <cellStyle name="40% - Accent3 5 4" xfId="9196" xr:uid="{9D392D19-AEDC-486E-B40D-9ACC5FE183B9}"/>
    <cellStyle name="40% - Accent3 5 5" xfId="17625" xr:uid="{8903B36E-E8E5-414D-A6F0-3CE0F88571B7}"/>
    <cellStyle name="40% - Accent3 6" xfId="1088" xr:uid="{00000000-0005-0000-0000-000092050000}"/>
    <cellStyle name="40% - Accent3 6 2" xfId="3319" xr:uid="{00000000-0005-0000-0000-000093050000}"/>
    <cellStyle name="40% - Accent3 6 2 2" xfId="7543" xr:uid="{00000000-0005-0000-0000-000094050000}"/>
    <cellStyle name="40% - Accent3 6 2 2 2" xfId="15972" xr:uid="{E8D84C66-9DC7-4106-A7B5-CA14ECF5733C}"/>
    <cellStyle name="40% - Accent3 6 2 2 3" xfId="24400" xr:uid="{C9057D91-FE2B-4509-9176-A1F88CE5B483}"/>
    <cellStyle name="40% - Accent3 6 2 3" xfId="11754" xr:uid="{80C6601C-8258-44BD-BEE0-4B4A62364B63}"/>
    <cellStyle name="40% - Accent3 6 2 4" xfId="20183" xr:uid="{E310154D-7420-432B-8F3C-853B1E830152}"/>
    <cellStyle name="40% - Accent3 6 3" xfId="5398" xr:uid="{00000000-0005-0000-0000-000095050000}"/>
    <cellStyle name="40% - Accent3 6 3 2" xfId="13827" xr:uid="{730FD130-88B5-4BDB-A02D-A5ACD8438C84}"/>
    <cellStyle name="40% - Accent3 6 3 3" xfId="22255" xr:uid="{8FB9BB6D-FC09-484F-A5A9-A1D6A5A5F9D2}"/>
    <cellStyle name="40% - Accent3 6 4" xfId="9609" xr:uid="{D53D556D-351D-4990-8CDE-64DD6A95BB46}"/>
    <cellStyle name="40% - Accent3 6 5" xfId="18038" xr:uid="{E7562256-0588-469B-9819-50B11F3BB759}"/>
    <cellStyle name="40% - Accent3 7" xfId="1502" xr:uid="{00000000-0005-0000-0000-000096050000}"/>
    <cellStyle name="40% - Accent3 7 2" xfId="3732" xr:uid="{00000000-0005-0000-0000-000097050000}"/>
    <cellStyle name="40% - Accent3 7 2 2" xfId="7956" xr:uid="{00000000-0005-0000-0000-000098050000}"/>
    <cellStyle name="40% - Accent3 7 2 2 2" xfId="16385" xr:uid="{6C79153E-FBC5-48CB-8A5E-8FEBD7DBC548}"/>
    <cellStyle name="40% - Accent3 7 2 2 3" xfId="24813" xr:uid="{AD95B787-F6B5-4592-8229-07893A008BD8}"/>
    <cellStyle name="40% - Accent3 7 2 3" xfId="12167" xr:uid="{CDFBF8F6-E675-45B8-A02D-B0CB9DC736DB}"/>
    <cellStyle name="40% - Accent3 7 2 4" xfId="20596" xr:uid="{4BEBDAD4-06FC-4061-9E8D-215490F5ED0F}"/>
    <cellStyle name="40% - Accent3 7 3" xfId="5811" xr:uid="{00000000-0005-0000-0000-000099050000}"/>
    <cellStyle name="40% - Accent3 7 3 2" xfId="14240" xr:uid="{A630D473-3898-4CEE-AC49-646D7559FBD6}"/>
    <cellStyle name="40% - Accent3 7 3 3" xfId="22668" xr:uid="{7239B3DB-9995-4F72-9A8F-6004C0237292}"/>
    <cellStyle name="40% - Accent3 7 4" xfId="10022" xr:uid="{EF2506A5-648C-43BF-ADFA-656227C4032C}"/>
    <cellStyle name="40% - Accent3 7 5" xfId="18451" xr:uid="{B6F1EB06-D796-4DDB-A085-BC80AEA40710}"/>
    <cellStyle name="40% - Accent3 8" xfId="1916" xr:uid="{00000000-0005-0000-0000-00009A050000}"/>
    <cellStyle name="40% - Accent3 8 2" xfId="4145" xr:uid="{00000000-0005-0000-0000-00009B050000}"/>
    <cellStyle name="40% - Accent3 8 2 2" xfId="8369" xr:uid="{00000000-0005-0000-0000-00009C050000}"/>
    <cellStyle name="40% - Accent3 8 2 2 2" xfId="16798" xr:uid="{E39F827E-02EB-407E-B6E5-B7F560EA39C8}"/>
    <cellStyle name="40% - Accent3 8 2 2 3" xfId="25226" xr:uid="{1FB63273-C7E5-4BCD-81F0-81D66A943F3E}"/>
    <cellStyle name="40% - Accent3 8 2 3" xfId="12580" xr:uid="{3DFEE0C7-53EC-4085-B243-E573D2A32B82}"/>
    <cellStyle name="40% - Accent3 8 2 4" xfId="21009" xr:uid="{5383DE6A-2B04-4050-9722-7D7685F80473}"/>
    <cellStyle name="40% - Accent3 8 3" xfId="6224" xr:uid="{00000000-0005-0000-0000-00009D050000}"/>
    <cellStyle name="40% - Accent3 8 3 2" xfId="14653" xr:uid="{FC1EEF1F-FDBC-41DD-8471-5E3DFECCC48E}"/>
    <cellStyle name="40% - Accent3 8 3 3" xfId="23081" xr:uid="{65B5C376-1656-4039-AC34-0DA1FAA7DD4F}"/>
    <cellStyle name="40% - Accent3 8 4" xfId="10435" xr:uid="{AB156BE1-95C8-4265-8364-F90911EEF425}"/>
    <cellStyle name="40% - Accent3 8 5" xfId="18864" xr:uid="{9CA8B157-77E3-45FD-ACEC-1439C8BD38E8}"/>
    <cellStyle name="40% - Accent3 9" xfId="2329" xr:uid="{00000000-0005-0000-0000-00009E050000}"/>
    <cellStyle name="40% - Accent3 9 2" xfId="6637" xr:uid="{00000000-0005-0000-0000-00009F050000}"/>
    <cellStyle name="40% - Accent3 9 2 2" xfId="15066" xr:uid="{5CA3D0D4-2BDF-45CF-AF8C-D125D125CCDC}"/>
    <cellStyle name="40% - Accent3 9 2 3" xfId="23494" xr:uid="{84F073A5-9EF5-453E-98C2-64A02054A620}"/>
    <cellStyle name="40% - Accent3 9 3" xfId="10848" xr:uid="{EA986095-7823-43F7-A81F-79E82F9642A1}"/>
    <cellStyle name="40% - Accent3 9 4" xfId="19277" xr:uid="{0F3AEF4F-B826-412A-882E-98682C419915}"/>
    <cellStyle name="40% - Accent4" xfId="73" builtinId="43" customBuiltin="1"/>
    <cellStyle name="40% - Accent4 10" xfId="4579" xr:uid="{00000000-0005-0000-0000-0000A1050000}"/>
    <cellStyle name="40% - Accent4 10 2" xfId="13008" xr:uid="{0DAE5334-6760-4D1D-9428-144C3C10F3B2}"/>
    <cellStyle name="40% - Accent4 10 3" xfId="21436" xr:uid="{73F66D5B-9064-4EA9-AC13-17BD961000C0}"/>
    <cellStyle name="40% - Accent4 11" xfId="8790" xr:uid="{5419F5A7-A9D8-4E45-9F33-797A1B27291E}"/>
    <cellStyle name="40% - Accent4 12" xfId="17219" xr:uid="{85FC3C2D-80B7-4FC1-9EED-D6540958D288}"/>
    <cellStyle name="40% - Accent4 2" xfId="74" xr:uid="{00000000-0005-0000-0000-0000A2050000}"/>
    <cellStyle name="40% - Accent4 2 10" xfId="8791" xr:uid="{279FFF4D-0208-4656-BD4B-62B92B6B0901}"/>
    <cellStyle name="40% - Accent4 2 11" xfId="17220" xr:uid="{2BAFF2C5-0829-4B0A-8086-F78928855B06}"/>
    <cellStyle name="40% - Accent4 2 2" xfId="75" xr:uid="{00000000-0005-0000-0000-0000A3050000}"/>
    <cellStyle name="40% - Accent4 2 2 10" xfId="17221" xr:uid="{0E87B4EC-B4F0-4116-851A-4B3D19EC5D85}"/>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70" xr:uid="{8751CE1A-7850-442D-B029-78F4531E9AF9}"/>
    <cellStyle name="40% - Accent4 2 2 2 2 2 2 3" xfId="23998" xr:uid="{EF543F5B-40C7-4B0D-9A1F-908E5A7D2D9C}"/>
    <cellStyle name="40% - Accent4 2 2 2 2 2 3" xfId="11352" xr:uid="{A5F9777B-C998-4011-AB1A-A6DE05814DEA}"/>
    <cellStyle name="40% - Accent4 2 2 2 2 2 4" xfId="19781" xr:uid="{5F50FBDB-1BF8-497C-B41F-5E706EED2827}"/>
    <cellStyle name="40% - Accent4 2 2 2 2 3" xfId="4996" xr:uid="{00000000-0005-0000-0000-0000A8050000}"/>
    <cellStyle name="40% - Accent4 2 2 2 2 3 2" xfId="13425" xr:uid="{413EA2AD-A269-4D1A-9E14-B3DA8DF04896}"/>
    <cellStyle name="40% - Accent4 2 2 2 2 3 3" xfId="21853" xr:uid="{A5B3EDFD-30F6-42F1-8119-313AA238AD8D}"/>
    <cellStyle name="40% - Accent4 2 2 2 2 4" xfId="9207" xr:uid="{7F2BBB77-27CE-4545-87F3-9F7FCE9C05CF}"/>
    <cellStyle name="40% - Accent4 2 2 2 2 5" xfId="17636" xr:uid="{7CFFF0CC-DA3F-45FE-BFE6-4CA6CDB879A3}"/>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83" xr:uid="{2C9F7FD3-E31C-48EA-9ED9-10878216E5B8}"/>
    <cellStyle name="40% - Accent4 2 2 2 3 2 2 3" xfId="24411" xr:uid="{9C9F1609-DE98-4A64-B978-2D83656B4AC1}"/>
    <cellStyle name="40% - Accent4 2 2 2 3 2 3" xfId="11765" xr:uid="{7C9B04E2-A70D-4EE3-AEE7-10691779EC86}"/>
    <cellStyle name="40% - Accent4 2 2 2 3 2 4" xfId="20194" xr:uid="{A5EE04C8-C547-4A0C-A8CA-4ACAF1916B90}"/>
    <cellStyle name="40% - Accent4 2 2 2 3 3" xfId="5409" xr:uid="{00000000-0005-0000-0000-0000AC050000}"/>
    <cellStyle name="40% - Accent4 2 2 2 3 3 2" xfId="13838" xr:uid="{0920635B-5FEF-4503-B8A0-143C396EF374}"/>
    <cellStyle name="40% - Accent4 2 2 2 3 3 3" xfId="22266" xr:uid="{B9A3B819-B3DE-4732-AE91-C55D2E3205A3}"/>
    <cellStyle name="40% - Accent4 2 2 2 3 4" xfId="9620" xr:uid="{29A0840F-0216-46E5-8B33-0E742D820FC0}"/>
    <cellStyle name="40% - Accent4 2 2 2 3 5" xfId="18049" xr:uid="{12FCF884-ED4D-4C91-B337-D5427FEC41EE}"/>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96" xr:uid="{46AFB399-65DC-4A71-BDA6-E7E9D98BF44C}"/>
    <cellStyle name="40% - Accent4 2 2 2 4 2 2 3" xfId="24824" xr:uid="{AD35BC76-0A86-4462-913C-46B451805EE6}"/>
    <cellStyle name="40% - Accent4 2 2 2 4 2 3" xfId="12178" xr:uid="{82D5F65E-7162-4C88-A680-E02C315C0E7A}"/>
    <cellStyle name="40% - Accent4 2 2 2 4 2 4" xfId="20607" xr:uid="{5FF2EA9C-9F52-4B5D-88AA-C48E1AD3D0C6}"/>
    <cellStyle name="40% - Accent4 2 2 2 4 3" xfId="5822" xr:uid="{00000000-0005-0000-0000-0000B0050000}"/>
    <cellStyle name="40% - Accent4 2 2 2 4 3 2" xfId="14251" xr:uid="{32C192B0-E248-4BAE-AB27-C32B4DF73C11}"/>
    <cellStyle name="40% - Accent4 2 2 2 4 3 3" xfId="22679" xr:uid="{F1E7555E-109D-4BD8-98E4-EBBAEA7B6C40}"/>
    <cellStyle name="40% - Accent4 2 2 2 4 4" xfId="10033" xr:uid="{6FF08BE3-7693-4F6A-AFA3-CB2F342F6205}"/>
    <cellStyle name="40% - Accent4 2 2 2 4 5" xfId="18462" xr:uid="{70B687FC-159C-4FC2-94E0-0DC24EAFFB95}"/>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9" xr:uid="{A4A408E0-59AC-4412-B142-EA3E514966C2}"/>
    <cellStyle name="40% - Accent4 2 2 2 5 2 2 3" xfId="25237" xr:uid="{DFD45163-8C33-40A6-90B8-F14F8F6620EB}"/>
    <cellStyle name="40% - Accent4 2 2 2 5 2 3" xfId="12591" xr:uid="{5DFF97B4-1BAD-47AF-9584-B214B812E4B9}"/>
    <cellStyle name="40% - Accent4 2 2 2 5 2 4" xfId="21020" xr:uid="{4DD354F2-09BE-43AA-8EAD-2DB4CCDD5F1E}"/>
    <cellStyle name="40% - Accent4 2 2 2 5 3" xfId="6235" xr:uid="{00000000-0005-0000-0000-0000B4050000}"/>
    <cellStyle name="40% - Accent4 2 2 2 5 3 2" xfId="14664" xr:uid="{512EA544-526D-4C0B-AE0A-E0225D477ABF}"/>
    <cellStyle name="40% - Accent4 2 2 2 5 3 3" xfId="23092" xr:uid="{16F9AEFD-E310-4653-A73D-918221C0DE85}"/>
    <cellStyle name="40% - Accent4 2 2 2 5 4" xfId="10446" xr:uid="{0EB98895-FD20-4D67-8170-2E6AA661FAD2}"/>
    <cellStyle name="40% - Accent4 2 2 2 5 5" xfId="18875" xr:uid="{313317D8-DB2E-4EAD-BC16-3146283B4D93}"/>
    <cellStyle name="40% - Accent4 2 2 2 6" xfId="2340" xr:uid="{00000000-0005-0000-0000-0000B5050000}"/>
    <cellStyle name="40% - Accent4 2 2 2 6 2" xfId="6648" xr:uid="{00000000-0005-0000-0000-0000B6050000}"/>
    <cellStyle name="40% - Accent4 2 2 2 6 2 2" xfId="15077" xr:uid="{063D2B1B-14F2-4C26-9839-5DA60A879B77}"/>
    <cellStyle name="40% - Accent4 2 2 2 6 2 3" xfId="23505" xr:uid="{538E21AF-8E47-4A5B-A482-5B1BACE59BBC}"/>
    <cellStyle name="40% - Accent4 2 2 2 6 3" xfId="10859" xr:uid="{60898CF9-4E3B-489E-BA05-0567A29F299C}"/>
    <cellStyle name="40% - Accent4 2 2 2 6 4" xfId="19288" xr:uid="{A3CC57A3-3FDD-402C-8178-8A2F54389156}"/>
    <cellStyle name="40% - Accent4 2 2 2 7" xfId="4582" xr:uid="{00000000-0005-0000-0000-0000B7050000}"/>
    <cellStyle name="40% - Accent4 2 2 2 7 2" xfId="13011" xr:uid="{06EA6445-67ED-482C-BD87-4B0BD5FEC6CF}"/>
    <cellStyle name="40% - Accent4 2 2 2 7 3" xfId="21439" xr:uid="{3D4D0923-2BA6-44A2-8A30-E993BA6CAF34}"/>
    <cellStyle name="40% - Accent4 2 2 2 8" xfId="8793" xr:uid="{1906E21D-051A-4FFC-815A-CD59DC08DBFF}"/>
    <cellStyle name="40% - Accent4 2 2 2 9" xfId="17222" xr:uid="{8E1B5E8F-0E0E-4AB9-871B-873D998855F7}"/>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9" xr:uid="{881735E5-BE08-487F-8285-73051D0A3463}"/>
    <cellStyle name="40% - Accent4 2 2 3 2 2 3" xfId="23997" xr:uid="{B006CA9D-9FDD-4B65-8BF2-0A7A2322C8E4}"/>
    <cellStyle name="40% - Accent4 2 2 3 2 3" xfId="11351" xr:uid="{50B5EFAF-4BE0-4575-9BAC-D30318F89E5A}"/>
    <cellStyle name="40% - Accent4 2 2 3 2 4" xfId="19780" xr:uid="{AC3E06E1-5FB2-4BC3-A38F-EDCFA26F451C}"/>
    <cellStyle name="40% - Accent4 2 2 3 3" xfId="4995" xr:uid="{00000000-0005-0000-0000-0000BB050000}"/>
    <cellStyle name="40% - Accent4 2 2 3 3 2" xfId="13424" xr:uid="{22C43B7F-F55A-4872-8E52-91619249EE28}"/>
    <cellStyle name="40% - Accent4 2 2 3 3 3" xfId="21852" xr:uid="{7BEE3F56-F23E-4EEC-8BCB-42C83252729F}"/>
    <cellStyle name="40% - Accent4 2 2 3 4" xfId="9206" xr:uid="{FB7057F0-C9F9-46EA-ABB6-97EBBFE4682B}"/>
    <cellStyle name="40% - Accent4 2 2 3 5" xfId="17635" xr:uid="{59FF76AC-598C-4968-91BD-35E338FC31F3}"/>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82" xr:uid="{AB925E27-9BD5-4853-B019-46BCD7E2BB27}"/>
    <cellStyle name="40% - Accent4 2 2 4 2 2 3" xfId="24410" xr:uid="{854FBE80-F58E-4116-A3F6-082FA8B3A242}"/>
    <cellStyle name="40% - Accent4 2 2 4 2 3" xfId="11764" xr:uid="{29301E6C-6658-41BC-9F75-E7A40A871BE9}"/>
    <cellStyle name="40% - Accent4 2 2 4 2 4" xfId="20193" xr:uid="{9DB3F215-F960-41EF-AE58-45C9B1FE0720}"/>
    <cellStyle name="40% - Accent4 2 2 4 3" xfId="5408" xr:uid="{00000000-0005-0000-0000-0000BF050000}"/>
    <cellStyle name="40% - Accent4 2 2 4 3 2" xfId="13837" xr:uid="{3A60379F-324B-425F-919A-90C6953F2638}"/>
    <cellStyle name="40% - Accent4 2 2 4 3 3" xfId="22265" xr:uid="{AAEC62D8-ADB3-45C9-8885-E6D9A693BCF3}"/>
    <cellStyle name="40% - Accent4 2 2 4 4" xfId="9619" xr:uid="{FB6107D2-01DB-4FAC-9D6F-4BA6F6860290}"/>
    <cellStyle name="40% - Accent4 2 2 4 5" xfId="18048" xr:uid="{E423E850-74BF-4032-A1EC-81E5E0F025A4}"/>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95" xr:uid="{C0AAF8D5-53FC-4F92-A149-E8FD30148F56}"/>
    <cellStyle name="40% - Accent4 2 2 5 2 2 3" xfId="24823" xr:uid="{E256EB47-75FB-4EDE-BB2F-BED3A7CBD796}"/>
    <cellStyle name="40% - Accent4 2 2 5 2 3" xfId="12177" xr:uid="{F98FBBFE-721F-4B5F-B0DE-194753C1FDCA}"/>
    <cellStyle name="40% - Accent4 2 2 5 2 4" xfId="20606" xr:uid="{975000E3-0E47-4F25-ADAE-6B592E324D64}"/>
    <cellStyle name="40% - Accent4 2 2 5 3" xfId="5821" xr:uid="{00000000-0005-0000-0000-0000C3050000}"/>
    <cellStyle name="40% - Accent4 2 2 5 3 2" xfId="14250" xr:uid="{66DA9591-C8BF-48E2-9E3B-69384FE8AFAF}"/>
    <cellStyle name="40% - Accent4 2 2 5 3 3" xfId="22678" xr:uid="{C32A69D9-F07C-4682-86DC-EE5962E95AA6}"/>
    <cellStyle name="40% - Accent4 2 2 5 4" xfId="10032" xr:uid="{BF578613-8F3A-4CE7-9ED3-6A21BFBC343B}"/>
    <cellStyle name="40% - Accent4 2 2 5 5" xfId="18461" xr:uid="{78696426-D299-4D51-979E-0418D7173B56}"/>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8" xr:uid="{8394510C-8405-4609-98DA-1D36995F8C97}"/>
    <cellStyle name="40% - Accent4 2 2 6 2 2 3" xfId="25236" xr:uid="{8BD3528E-2153-44F8-96B3-FD40AAFF6143}"/>
    <cellStyle name="40% - Accent4 2 2 6 2 3" xfId="12590" xr:uid="{59FAC05C-869A-478A-9A26-F87BE5334C10}"/>
    <cellStyle name="40% - Accent4 2 2 6 2 4" xfId="21019" xr:uid="{CB8E0FFC-A3B9-41F3-9BAD-E8791E08750A}"/>
    <cellStyle name="40% - Accent4 2 2 6 3" xfId="6234" xr:uid="{00000000-0005-0000-0000-0000C7050000}"/>
    <cellStyle name="40% - Accent4 2 2 6 3 2" xfId="14663" xr:uid="{EFD87FFA-5A5A-4DC3-A307-DA3FE66DDD2A}"/>
    <cellStyle name="40% - Accent4 2 2 6 3 3" xfId="23091" xr:uid="{00E85D16-385D-4B77-B97E-49A6351290D4}"/>
    <cellStyle name="40% - Accent4 2 2 6 4" xfId="10445" xr:uid="{CF41A130-FF97-408A-9506-9F6C25B44117}"/>
    <cellStyle name="40% - Accent4 2 2 6 5" xfId="18874" xr:uid="{5923AE37-47F6-410B-B1C0-9B2E49A01B34}"/>
    <cellStyle name="40% - Accent4 2 2 7" xfId="2339" xr:uid="{00000000-0005-0000-0000-0000C8050000}"/>
    <cellStyle name="40% - Accent4 2 2 7 2" xfId="6647" xr:uid="{00000000-0005-0000-0000-0000C9050000}"/>
    <cellStyle name="40% - Accent4 2 2 7 2 2" xfId="15076" xr:uid="{103CA40A-9F71-4777-83D0-C47E9DE25E10}"/>
    <cellStyle name="40% - Accent4 2 2 7 2 3" xfId="23504" xr:uid="{4A112F9E-7F06-48E9-A70B-68C8ACDC5AE1}"/>
    <cellStyle name="40% - Accent4 2 2 7 3" xfId="10858" xr:uid="{29500255-C728-462E-BF4A-FCD1D698B638}"/>
    <cellStyle name="40% - Accent4 2 2 7 4" xfId="19287" xr:uid="{C81434B3-53FB-4A40-8206-EEE5FD4D029B}"/>
    <cellStyle name="40% - Accent4 2 2 8" xfId="4581" xr:uid="{00000000-0005-0000-0000-0000CA050000}"/>
    <cellStyle name="40% - Accent4 2 2 8 2" xfId="13010" xr:uid="{E7326E65-9988-4181-BAFD-A1A6B7E9CDB8}"/>
    <cellStyle name="40% - Accent4 2 2 8 3" xfId="21438" xr:uid="{B9DD791D-B414-4E7E-869B-A1144B724E7B}"/>
    <cellStyle name="40% - Accent4 2 2 9" xfId="8792" xr:uid="{ED6F5416-BB3C-48CC-9CD5-D0019D10C4C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71" xr:uid="{262D5931-570B-4631-B813-CCF5861D385B}"/>
    <cellStyle name="40% - Accent4 2 3 2 2 2 3" xfId="23999" xr:uid="{A988D818-A58C-4DE4-A566-D80BF3470094}"/>
    <cellStyle name="40% - Accent4 2 3 2 2 3" xfId="11353" xr:uid="{C86E5D7F-E803-4882-B0E3-1733D32003B9}"/>
    <cellStyle name="40% - Accent4 2 3 2 2 4" xfId="19782" xr:uid="{963CB485-ADF9-4746-A179-4B56A8C587A9}"/>
    <cellStyle name="40% - Accent4 2 3 2 3" xfId="4997" xr:uid="{00000000-0005-0000-0000-0000CF050000}"/>
    <cellStyle name="40% - Accent4 2 3 2 3 2" xfId="13426" xr:uid="{618568A5-BDE7-4BCB-8B74-BFFF271B96C8}"/>
    <cellStyle name="40% - Accent4 2 3 2 3 3" xfId="21854" xr:uid="{F989943B-2D08-4A0D-AB20-4AD79970EFD5}"/>
    <cellStyle name="40% - Accent4 2 3 2 4" xfId="9208" xr:uid="{4054E7B5-C1DE-4319-81A5-0D6F8CCC4BA6}"/>
    <cellStyle name="40% - Accent4 2 3 2 5" xfId="17637" xr:uid="{85D06822-2C2E-455D-98FB-B29BFB6EC8B1}"/>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84" xr:uid="{C33C6014-D847-4D1D-8B4F-7F974796840F}"/>
    <cellStyle name="40% - Accent4 2 3 3 2 2 3" xfId="24412" xr:uid="{58CF76BA-18D5-41DC-8869-A3F493C3A712}"/>
    <cellStyle name="40% - Accent4 2 3 3 2 3" xfId="11766" xr:uid="{15F0A5BB-5590-4F99-8FD3-9E4BC2A87B3C}"/>
    <cellStyle name="40% - Accent4 2 3 3 2 4" xfId="20195" xr:uid="{64AF767D-355F-432E-82AD-047DA1EE0A11}"/>
    <cellStyle name="40% - Accent4 2 3 3 3" xfId="5410" xr:uid="{00000000-0005-0000-0000-0000D3050000}"/>
    <cellStyle name="40% - Accent4 2 3 3 3 2" xfId="13839" xr:uid="{77C1C896-2A8E-4F14-98E3-6E2603849B76}"/>
    <cellStyle name="40% - Accent4 2 3 3 3 3" xfId="22267" xr:uid="{5DFE4EC1-0366-4A18-8DF9-0DEA7BB38629}"/>
    <cellStyle name="40% - Accent4 2 3 3 4" xfId="9621" xr:uid="{91BAEA78-38F7-4DE1-BA65-334D806ACB78}"/>
    <cellStyle name="40% - Accent4 2 3 3 5" xfId="18050" xr:uid="{EAEA9D1E-5D54-4994-AC07-8FF21C80F33D}"/>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7" xr:uid="{3B00CBF4-7A2F-4762-A038-66654384468A}"/>
    <cellStyle name="40% - Accent4 2 3 4 2 2 3" xfId="24825" xr:uid="{71DBF40C-E996-4B76-BC3C-3F81DBE3FF70}"/>
    <cellStyle name="40% - Accent4 2 3 4 2 3" xfId="12179" xr:uid="{58F8DA35-F1E3-4BDD-8DE6-37B5678C5054}"/>
    <cellStyle name="40% - Accent4 2 3 4 2 4" xfId="20608" xr:uid="{AAA3DAB5-FDC0-4425-BCC5-6A7EB6A9BBF3}"/>
    <cellStyle name="40% - Accent4 2 3 4 3" xfId="5823" xr:uid="{00000000-0005-0000-0000-0000D7050000}"/>
    <cellStyle name="40% - Accent4 2 3 4 3 2" xfId="14252" xr:uid="{671C634B-87F4-43AB-A4CB-AC20E08022A7}"/>
    <cellStyle name="40% - Accent4 2 3 4 3 3" xfId="22680" xr:uid="{607CE59F-886E-403F-9A64-C978ED9ED982}"/>
    <cellStyle name="40% - Accent4 2 3 4 4" xfId="10034" xr:uid="{E3C95093-A130-45DC-BA6D-2AC3CA7E7A66}"/>
    <cellStyle name="40% - Accent4 2 3 4 5" xfId="18463" xr:uid="{6E29A1F8-15A6-4D21-9FAD-D2DE28295CF1}"/>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10" xr:uid="{9CC824E8-F7AA-4D42-BF1F-440EEF115E6F}"/>
    <cellStyle name="40% - Accent4 2 3 5 2 2 3" xfId="25238" xr:uid="{7C3DA33B-3A9D-48B4-9198-D2C403C25E3F}"/>
    <cellStyle name="40% - Accent4 2 3 5 2 3" xfId="12592" xr:uid="{B37E476B-30DD-49DD-93E4-66BCEEDD48A2}"/>
    <cellStyle name="40% - Accent4 2 3 5 2 4" xfId="21021" xr:uid="{EDA593BD-EC62-464B-B15E-D5D4AABE0D83}"/>
    <cellStyle name="40% - Accent4 2 3 5 3" xfId="6236" xr:uid="{00000000-0005-0000-0000-0000DB050000}"/>
    <cellStyle name="40% - Accent4 2 3 5 3 2" xfId="14665" xr:uid="{E7CA567C-DBD1-49C7-B417-B494D5318861}"/>
    <cellStyle name="40% - Accent4 2 3 5 3 3" xfId="23093" xr:uid="{961F3E6C-5C7F-46C6-B1F2-C3404E0FBE18}"/>
    <cellStyle name="40% - Accent4 2 3 5 4" xfId="10447" xr:uid="{D1F88A54-A7E1-4E32-AA2C-7E826A6D1BBA}"/>
    <cellStyle name="40% - Accent4 2 3 5 5" xfId="18876" xr:uid="{7875B54D-3E4A-4FF4-BF39-75DFFB287FD3}"/>
    <cellStyle name="40% - Accent4 2 3 6" xfId="2341" xr:uid="{00000000-0005-0000-0000-0000DC050000}"/>
    <cellStyle name="40% - Accent4 2 3 6 2" xfId="6649" xr:uid="{00000000-0005-0000-0000-0000DD050000}"/>
    <cellStyle name="40% - Accent4 2 3 6 2 2" xfId="15078" xr:uid="{E1F6F3CB-BB3A-4751-8D36-6C511E5332FC}"/>
    <cellStyle name="40% - Accent4 2 3 6 2 3" xfId="23506" xr:uid="{83A16E18-69DF-4626-818A-40B3B4B2167D}"/>
    <cellStyle name="40% - Accent4 2 3 6 3" xfId="10860" xr:uid="{0FFA35E3-DA72-4DFC-B61A-33FCFBA2968C}"/>
    <cellStyle name="40% - Accent4 2 3 6 4" xfId="19289" xr:uid="{0CE404D7-DF07-48E6-8187-EAE3A01B0E50}"/>
    <cellStyle name="40% - Accent4 2 3 7" xfId="4583" xr:uid="{00000000-0005-0000-0000-0000DE050000}"/>
    <cellStyle name="40% - Accent4 2 3 7 2" xfId="13012" xr:uid="{2CBF76A6-22C8-4498-B1FF-0AE16DC8387A}"/>
    <cellStyle name="40% - Accent4 2 3 7 3" xfId="21440" xr:uid="{0A40991E-AD00-4263-8639-9881D2D8D739}"/>
    <cellStyle name="40% - Accent4 2 3 8" xfId="8794" xr:uid="{93717778-C7B5-46D0-B4AE-8D095BFDBBB8}"/>
    <cellStyle name="40% - Accent4 2 3 9" xfId="17223" xr:uid="{EBA88BD7-080C-432F-A56A-E2298A810870}"/>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8" xr:uid="{0EB231B8-572E-4102-A31E-0B01676A5607}"/>
    <cellStyle name="40% - Accent4 2 4 2 2 3" xfId="23996" xr:uid="{2BEB024B-7CFE-454A-B2C9-850C3E68A611}"/>
    <cellStyle name="40% - Accent4 2 4 2 3" xfId="11350" xr:uid="{482F087E-F50B-44D6-91F7-708054562E85}"/>
    <cellStyle name="40% - Accent4 2 4 2 4" xfId="19779" xr:uid="{658E2E22-0769-4173-991A-F28CC176AE0B}"/>
    <cellStyle name="40% - Accent4 2 4 3" xfId="4994" xr:uid="{00000000-0005-0000-0000-0000E2050000}"/>
    <cellStyle name="40% - Accent4 2 4 3 2" xfId="13423" xr:uid="{11C2D143-2CB6-4831-883B-494829365B55}"/>
    <cellStyle name="40% - Accent4 2 4 3 3" xfId="21851" xr:uid="{6AAD3732-7F5B-4BF5-B80F-8E4900547AF5}"/>
    <cellStyle name="40% - Accent4 2 4 4" xfId="9205" xr:uid="{47D57B92-A418-429E-923A-C58929AEC33C}"/>
    <cellStyle name="40% - Accent4 2 4 5" xfId="17634" xr:uid="{B652DFE7-442C-4600-974A-3014257778C1}"/>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81" xr:uid="{0324BDFF-F169-44F5-BE9D-ED1DBA06EE8C}"/>
    <cellStyle name="40% - Accent4 2 5 2 2 3" xfId="24409" xr:uid="{528A55D8-4262-4052-BC50-D0F4A3CA3032}"/>
    <cellStyle name="40% - Accent4 2 5 2 3" xfId="11763" xr:uid="{556E15FB-6236-4BA5-9485-0B6D322E2C36}"/>
    <cellStyle name="40% - Accent4 2 5 2 4" xfId="20192" xr:uid="{ABAA2C5C-0DAF-4115-B980-382F6D93AA96}"/>
    <cellStyle name="40% - Accent4 2 5 3" xfId="5407" xr:uid="{00000000-0005-0000-0000-0000E6050000}"/>
    <cellStyle name="40% - Accent4 2 5 3 2" xfId="13836" xr:uid="{485464A0-00F6-423A-8539-19754E859FC6}"/>
    <cellStyle name="40% - Accent4 2 5 3 3" xfId="22264" xr:uid="{F00F4F7D-26F7-48DB-A02A-D88F7569DFFD}"/>
    <cellStyle name="40% - Accent4 2 5 4" xfId="9618" xr:uid="{71A1E48B-D5FB-4AA4-BB4D-710E24223625}"/>
    <cellStyle name="40% - Accent4 2 5 5" xfId="18047" xr:uid="{E92695DE-A37E-47D6-85AE-557F46718C85}"/>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94" xr:uid="{E5D7936B-18CA-4736-8717-62C3910045D4}"/>
    <cellStyle name="40% - Accent4 2 6 2 2 3" xfId="24822" xr:uid="{B5836CC9-ACFB-4355-B833-DE1CBB50C3B0}"/>
    <cellStyle name="40% - Accent4 2 6 2 3" xfId="12176" xr:uid="{536034D8-CE1B-4147-B8D7-642CC82B2E63}"/>
    <cellStyle name="40% - Accent4 2 6 2 4" xfId="20605" xr:uid="{876E78A7-2AA4-4656-B800-82C81ADFB066}"/>
    <cellStyle name="40% - Accent4 2 6 3" xfId="5820" xr:uid="{00000000-0005-0000-0000-0000EA050000}"/>
    <cellStyle name="40% - Accent4 2 6 3 2" xfId="14249" xr:uid="{726C2128-E2E6-4A92-9B2C-6728ED1D0CFC}"/>
    <cellStyle name="40% - Accent4 2 6 3 3" xfId="22677" xr:uid="{896ADCA0-9409-439F-901E-2757AC573080}"/>
    <cellStyle name="40% - Accent4 2 6 4" xfId="10031" xr:uid="{43B95F95-3E9C-46CE-A750-45DC1FC8FDDF}"/>
    <cellStyle name="40% - Accent4 2 6 5" xfId="18460" xr:uid="{0B1F0061-203B-4E1E-96A2-5075FFE5597D}"/>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7" xr:uid="{A2823B04-C6D0-4625-B8E6-4D045E89AB9D}"/>
    <cellStyle name="40% - Accent4 2 7 2 2 3" xfId="25235" xr:uid="{0C98882F-C614-43F9-91A1-D1360A7A5DA5}"/>
    <cellStyle name="40% - Accent4 2 7 2 3" xfId="12589" xr:uid="{21EB2D55-1667-40C2-97EF-3715200D5F9F}"/>
    <cellStyle name="40% - Accent4 2 7 2 4" xfId="21018" xr:uid="{D568A9AE-0A4B-4086-8AB9-EF9B63F17840}"/>
    <cellStyle name="40% - Accent4 2 7 3" xfId="6233" xr:uid="{00000000-0005-0000-0000-0000EE050000}"/>
    <cellStyle name="40% - Accent4 2 7 3 2" xfId="14662" xr:uid="{8AA6727C-4BFF-40D9-9163-E984AF188056}"/>
    <cellStyle name="40% - Accent4 2 7 3 3" xfId="23090" xr:uid="{02B2AF6D-5EB8-46E7-80A9-B2B6D0BD1E0C}"/>
    <cellStyle name="40% - Accent4 2 7 4" xfId="10444" xr:uid="{E0C6D052-706D-4BCE-92C8-87303877D11A}"/>
    <cellStyle name="40% - Accent4 2 7 5" xfId="18873" xr:uid="{A59DED7E-10AD-43B4-B7CE-3C9174BF0A59}"/>
    <cellStyle name="40% - Accent4 2 8" xfId="2338" xr:uid="{00000000-0005-0000-0000-0000EF050000}"/>
    <cellStyle name="40% - Accent4 2 8 2" xfId="6646" xr:uid="{00000000-0005-0000-0000-0000F0050000}"/>
    <cellStyle name="40% - Accent4 2 8 2 2" xfId="15075" xr:uid="{DE8898C0-2013-4F90-887B-FA7A644A5D3D}"/>
    <cellStyle name="40% - Accent4 2 8 2 3" xfId="23503" xr:uid="{015E257E-09CA-49AF-924A-CFBB9F92E063}"/>
    <cellStyle name="40% - Accent4 2 8 3" xfId="10857" xr:uid="{F6E3F801-49E0-48D4-9BEF-07EA5CCE6A86}"/>
    <cellStyle name="40% - Accent4 2 8 4" xfId="19286" xr:uid="{E5C42137-166B-4079-B88E-843FAF935C2A}"/>
    <cellStyle name="40% - Accent4 2 9" xfId="4580" xr:uid="{00000000-0005-0000-0000-0000F1050000}"/>
    <cellStyle name="40% - Accent4 2 9 2" xfId="13009" xr:uid="{314AC445-5C98-41FD-B3BC-08F324C7A07D}"/>
    <cellStyle name="40% - Accent4 2 9 3" xfId="21437" xr:uid="{0870E206-76FD-473A-87EE-74C54BEBCCDB}"/>
    <cellStyle name="40% - Accent4 3" xfId="78" xr:uid="{00000000-0005-0000-0000-0000F2050000}"/>
    <cellStyle name="40% - Accent4 3 10" xfId="17224" xr:uid="{94F12AF7-B8F8-4632-9579-EBB26BF231AC}"/>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73" xr:uid="{60B7D953-01C7-4971-84BD-A8280AB3B50A}"/>
    <cellStyle name="40% - Accent4 3 2 2 2 2 3" xfId="24001" xr:uid="{EBD1E798-EE71-431F-81AD-04E9409AE5F2}"/>
    <cellStyle name="40% - Accent4 3 2 2 2 3" xfId="11355" xr:uid="{4C1D4CBB-EDAD-459A-A82A-E7632F5A8E64}"/>
    <cellStyle name="40% - Accent4 3 2 2 2 4" xfId="19784" xr:uid="{1BECB250-BD21-4DAB-B38F-677FE4FC77D9}"/>
    <cellStyle name="40% - Accent4 3 2 2 3" xfId="4999" xr:uid="{00000000-0005-0000-0000-0000F7050000}"/>
    <cellStyle name="40% - Accent4 3 2 2 3 2" xfId="13428" xr:uid="{F7F11CC5-5EDC-4CE7-A1EF-A1661B6E8F22}"/>
    <cellStyle name="40% - Accent4 3 2 2 3 3" xfId="21856" xr:uid="{79BACDD1-122F-4FCB-AA37-DA9BD386F746}"/>
    <cellStyle name="40% - Accent4 3 2 2 4" xfId="9210" xr:uid="{503A592A-4F4D-4CF0-BDC8-90310A656789}"/>
    <cellStyle name="40% - Accent4 3 2 2 5" xfId="17639" xr:uid="{C4242863-362A-4A4F-A9CF-4C530B9A3DC5}"/>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86" xr:uid="{0251B00B-805A-48FC-8E7E-9B2B4BA7A353}"/>
    <cellStyle name="40% - Accent4 3 2 3 2 2 3" xfId="24414" xr:uid="{6995A973-768C-450B-A795-16B1991B4BB0}"/>
    <cellStyle name="40% - Accent4 3 2 3 2 3" xfId="11768" xr:uid="{C62F62F8-E13D-4E3C-83A7-5390C29B9B32}"/>
    <cellStyle name="40% - Accent4 3 2 3 2 4" xfId="20197" xr:uid="{3147A2E8-7D13-4AD4-B24E-BBEFB795A6A0}"/>
    <cellStyle name="40% - Accent4 3 2 3 3" xfId="5412" xr:uid="{00000000-0005-0000-0000-0000FB050000}"/>
    <cellStyle name="40% - Accent4 3 2 3 3 2" xfId="13841" xr:uid="{FCD093E5-5F8B-4DC5-A60B-749AD71A7E80}"/>
    <cellStyle name="40% - Accent4 3 2 3 3 3" xfId="22269" xr:uid="{32901E7E-0B1C-4511-84FC-803F8FF74635}"/>
    <cellStyle name="40% - Accent4 3 2 3 4" xfId="9623" xr:uid="{F326DD7B-4297-4B1A-A29E-CCE29435C01F}"/>
    <cellStyle name="40% - Accent4 3 2 3 5" xfId="18052" xr:uid="{E429E8B0-A2C5-4FB4-88DC-6C6FB6958453}"/>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9" xr:uid="{5F8CCABB-968D-483F-BDA7-6B8294038EAD}"/>
    <cellStyle name="40% - Accent4 3 2 4 2 2 3" xfId="24827" xr:uid="{480C4265-8333-4605-8869-47085AF3852F}"/>
    <cellStyle name="40% - Accent4 3 2 4 2 3" xfId="12181" xr:uid="{5AEB680C-670D-47E7-8A84-85FF59964C43}"/>
    <cellStyle name="40% - Accent4 3 2 4 2 4" xfId="20610" xr:uid="{221D146C-4B44-4694-808F-0799FB8B5D7E}"/>
    <cellStyle name="40% - Accent4 3 2 4 3" xfId="5825" xr:uid="{00000000-0005-0000-0000-0000FF050000}"/>
    <cellStyle name="40% - Accent4 3 2 4 3 2" xfId="14254" xr:uid="{6240C9A0-078F-4BF0-A0EA-ADF0844611D3}"/>
    <cellStyle name="40% - Accent4 3 2 4 3 3" xfId="22682" xr:uid="{05498CD6-4ED6-4170-96FD-68C0F671AD24}"/>
    <cellStyle name="40% - Accent4 3 2 4 4" xfId="10036" xr:uid="{ECC7420B-38F2-480F-ADFC-0E174E8498D4}"/>
    <cellStyle name="40% - Accent4 3 2 4 5" xfId="18465" xr:uid="{121819FA-1429-4FA2-8B8A-203F5D6450B3}"/>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12" xr:uid="{C80C9171-EDB2-434B-B887-4DF4A42171AA}"/>
    <cellStyle name="40% - Accent4 3 2 5 2 2 3" xfId="25240" xr:uid="{D10D3724-9406-4D7E-8B81-C348ED23E868}"/>
    <cellStyle name="40% - Accent4 3 2 5 2 3" xfId="12594" xr:uid="{560E0496-2931-41C5-8063-1D43BF367DB5}"/>
    <cellStyle name="40% - Accent4 3 2 5 2 4" xfId="21023" xr:uid="{46244823-D17F-42EF-BA13-AC9A18D2D3DF}"/>
    <cellStyle name="40% - Accent4 3 2 5 3" xfId="6238" xr:uid="{00000000-0005-0000-0000-000003060000}"/>
    <cellStyle name="40% - Accent4 3 2 5 3 2" xfId="14667" xr:uid="{019B4593-4319-4208-90DC-9E0C0BA86339}"/>
    <cellStyle name="40% - Accent4 3 2 5 3 3" xfId="23095" xr:uid="{9F2BFFA5-BF0E-496F-9F1C-2D64BF4E5B78}"/>
    <cellStyle name="40% - Accent4 3 2 5 4" xfId="10449" xr:uid="{63512E09-355B-4404-9BC8-62DA9E0D15F7}"/>
    <cellStyle name="40% - Accent4 3 2 5 5" xfId="18878" xr:uid="{B77EDFEF-BE44-4F00-BE29-4952EFBA92F7}"/>
    <cellStyle name="40% - Accent4 3 2 6" xfId="2343" xr:uid="{00000000-0005-0000-0000-000004060000}"/>
    <cellStyle name="40% - Accent4 3 2 6 2" xfId="6651" xr:uid="{00000000-0005-0000-0000-000005060000}"/>
    <cellStyle name="40% - Accent4 3 2 6 2 2" xfId="15080" xr:uid="{EB88EEAD-665C-4E88-8DA1-9EA1045F160F}"/>
    <cellStyle name="40% - Accent4 3 2 6 2 3" xfId="23508" xr:uid="{C530B34E-B6D2-4267-A47B-37FE640CB860}"/>
    <cellStyle name="40% - Accent4 3 2 6 3" xfId="10862" xr:uid="{905B1833-6809-4011-B8C5-385611E44E3F}"/>
    <cellStyle name="40% - Accent4 3 2 6 4" xfId="19291" xr:uid="{C7FA215C-D18F-4ADA-9A93-4AD477B2EC69}"/>
    <cellStyle name="40% - Accent4 3 2 7" xfId="4585" xr:uid="{00000000-0005-0000-0000-000006060000}"/>
    <cellStyle name="40% - Accent4 3 2 7 2" xfId="13014" xr:uid="{8A28B216-E081-449A-9D45-93ABB09AC96F}"/>
    <cellStyle name="40% - Accent4 3 2 7 3" xfId="21442" xr:uid="{E4DA35B2-BBD7-4345-9276-34178EB1F025}"/>
    <cellStyle name="40% - Accent4 3 2 8" xfId="8796" xr:uid="{3BBF2C06-8170-4821-BD8F-99A22B890660}"/>
    <cellStyle name="40% - Accent4 3 2 9" xfId="17225" xr:uid="{BDDD655B-D8BB-41D4-AE96-8D24C4F34AB6}"/>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72" xr:uid="{987E1D4B-B0A1-426A-902D-80E28E0BD69B}"/>
    <cellStyle name="40% - Accent4 3 3 2 2 3" xfId="24000" xr:uid="{9F1A7F19-131C-405C-A8C0-746DED1BEC5A}"/>
    <cellStyle name="40% - Accent4 3 3 2 3" xfId="11354" xr:uid="{1FB5EDC4-3EF3-403B-A35C-8068BCDC1EDF}"/>
    <cellStyle name="40% - Accent4 3 3 2 4" xfId="19783" xr:uid="{086A258C-D1D0-4284-967B-B710C4068D11}"/>
    <cellStyle name="40% - Accent4 3 3 3" xfId="4998" xr:uid="{00000000-0005-0000-0000-00000A060000}"/>
    <cellStyle name="40% - Accent4 3 3 3 2" xfId="13427" xr:uid="{FCA4C878-2A63-4CFB-B0D6-979CD87CADDA}"/>
    <cellStyle name="40% - Accent4 3 3 3 3" xfId="21855" xr:uid="{7EF9FA2C-B883-47A9-BB0B-69FE727398FC}"/>
    <cellStyle name="40% - Accent4 3 3 4" xfId="9209" xr:uid="{960C57EB-496E-450A-84FE-6BBC89AC2D42}"/>
    <cellStyle name="40% - Accent4 3 3 5" xfId="17638" xr:uid="{2AB291FC-2ED8-48F7-8503-7B5B8AFA781E}"/>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85" xr:uid="{F5E68EAB-914B-403E-97EE-2CE2BD96E177}"/>
    <cellStyle name="40% - Accent4 3 4 2 2 3" xfId="24413" xr:uid="{A500261F-8A92-498D-8680-CDE8C5FDA271}"/>
    <cellStyle name="40% - Accent4 3 4 2 3" xfId="11767" xr:uid="{4A05757C-9FEE-4FA3-9828-E4322C2E83B3}"/>
    <cellStyle name="40% - Accent4 3 4 2 4" xfId="20196" xr:uid="{7048A4FC-9F6F-4F1D-B55E-AB786AB60B17}"/>
    <cellStyle name="40% - Accent4 3 4 3" xfId="5411" xr:uid="{00000000-0005-0000-0000-00000E060000}"/>
    <cellStyle name="40% - Accent4 3 4 3 2" xfId="13840" xr:uid="{8E03D23E-DD37-4FC2-AC30-767DC142C5A3}"/>
    <cellStyle name="40% - Accent4 3 4 3 3" xfId="22268" xr:uid="{7BC8DCBF-F444-4367-9975-E39B0E52CAFA}"/>
    <cellStyle name="40% - Accent4 3 4 4" xfId="9622" xr:uid="{3C48F7CC-1CA4-4308-A93D-426338C6E1EA}"/>
    <cellStyle name="40% - Accent4 3 4 5" xfId="18051" xr:uid="{26A8B85D-81AB-47FA-AAF3-FADB97359910}"/>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8" xr:uid="{4CA0A5E6-B060-4015-837C-6C395933E655}"/>
    <cellStyle name="40% - Accent4 3 5 2 2 3" xfId="24826" xr:uid="{C7BFA4E1-5A91-4F71-B24D-A51661DF9894}"/>
    <cellStyle name="40% - Accent4 3 5 2 3" xfId="12180" xr:uid="{9BC4FAA7-6956-4494-B27D-56BE55962A8D}"/>
    <cellStyle name="40% - Accent4 3 5 2 4" xfId="20609" xr:uid="{E2541F16-44B6-4EF6-96AD-61106C637460}"/>
    <cellStyle name="40% - Accent4 3 5 3" xfId="5824" xr:uid="{00000000-0005-0000-0000-000012060000}"/>
    <cellStyle name="40% - Accent4 3 5 3 2" xfId="14253" xr:uid="{26EA3B87-9A7E-43A3-896D-445C21B60B56}"/>
    <cellStyle name="40% - Accent4 3 5 3 3" xfId="22681" xr:uid="{65D44A08-CF6C-436F-B325-E90A1EB3C33C}"/>
    <cellStyle name="40% - Accent4 3 5 4" xfId="10035" xr:uid="{00D7F44E-A28B-4275-9F23-499F3ACD02BB}"/>
    <cellStyle name="40% - Accent4 3 5 5" xfId="18464" xr:uid="{A1D99DA0-9B2C-47D3-9C6E-4728A256CE27}"/>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11" xr:uid="{D20968B6-A1B4-4E40-888B-F4CC339FC482}"/>
    <cellStyle name="40% - Accent4 3 6 2 2 3" xfId="25239" xr:uid="{84EB9BC0-FF7E-4C0D-9573-1A131AE15220}"/>
    <cellStyle name="40% - Accent4 3 6 2 3" xfId="12593" xr:uid="{2B177B2B-E42D-4F53-8A47-A6AE5EC9488D}"/>
    <cellStyle name="40% - Accent4 3 6 2 4" xfId="21022" xr:uid="{C7167A4F-809F-4E14-A02F-342E7FD02504}"/>
    <cellStyle name="40% - Accent4 3 6 3" xfId="6237" xr:uid="{00000000-0005-0000-0000-000016060000}"/>
    <cellStyle name="40% - Accent4 3 6 3 2" xfId="14666" xr:uid="{3A45AECD-3DDF-4F7B-9FFB-2540F2D23F9C}"/>
    <cellStyle name="40% - Accent4 3 6 3 3" xfId="23094" xr:uid="{EEA8D03F-7BFC-4F0E-9CFE-9D9FADA92507}"/>
    <cellStyle name="40% - Accent4 3 6 4" xfId="10448" xr:uid="{28697CF1-EEE0-40D1-88D6-0ABDC08ABEC9}"/>
    <cellStyle name="40% - Accent4 3 6 5" xfId="18877" xr:uid="{FD373D2F-0A8A-449D-B276-F4F9A1FFDF1B}"/>
    <cellStyle name="40% - Accent4 3 7" xfId="2342" xr:uid="{00000000-0005-0000-0000-000017060000}"/>
    <cellStyle name="40% - Accent4 3 7 2" xfId="6650" xr:uid="{00000000-0005-0000-0000-000018060000}"/>
    <cellStyle name="40% - Accent4 3 7 2 2" xfId="15079" xr:uid="{710455FB-AD3A-4CA4-9E65-C64D8C7ABAB2}"/>
    <cellStyle name="40% - Accent4 3 7 2 3" xfId="23507" xr:uid="{030BDDA8-A6EB-4A3A-A2BB-4513A31E0AA7}"/>
    <cellStyle name="40% - Accent4 3 7 3" xfId="10861" xr:uid="{600A2A90-56FC-46AE-ABA4-5763A8588BA6}"/>
    <cellStyle name="40% - Accent4 3 7 4" xfId="19290" xr:uid="{EB6A7DF8-3F35-4081-97C2-9C21D6117999}"/>
    <cellStyle name="40% - Accent4 3 8" xfId="4584" xr:uid="{00000000-0005-0000-0000-000019060000}"/>
    <cellStyle name="40% - Accent4 3 8 2" xfId="13013" xr:uid="{D1B0BD0C-C7C6-492B-AF9F-517A6C781F3B}"/>
    <cellStyle name="40% - Accent4 3 8 3" xfId="21441" xr:uid="{DDEB05C0-C16F-4D15-A9CF-0AA37E44EED1}"/>
    <cellStyle name="40% - Accent4 3 9" xfId="8795" xr:uid="{8D0B8481-C531-4B96-85F6-5E0D4493EF39}"/>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74" xr:uid="{A225A18F-19A6-42E4-A400-00059F7A95A8}"/>
    <cellStyle name="40% - Accent4 4 2 2 2 3" xfId="24002" xr:uid="{A396538A-EA48-4C61-AB60-279C8528B3C9}"/>
    <cellStyle name="40% - Accent4 4 2 2 3" xfId="11356" xr:uid="{FA921300-A8FF-480D-B13E-48F1911B754A}"/>
    <cellStyle name="40% - Accent4 4 2 2 4" xfId="19785" xr:uid="{5B098150-5486-4A67-8FB8-D3C90CEC9D83}"/>
    <cellStyle name="40% - Accent4 4 2 3" xfId="5000" xr:uid="{00000000-0005-0000-0000-00001E060000}"/>
    <cellStyle name="40% - Accent4 4 2 3 2" xfId="13429" xr:uid="{9479BFF3-D49A-4B92-814A-F7EE71145403}"/>
    <cellStyle name="40% - Accent4 4 2 3 3" xfId="21857" xr:uid="{C68D7BD9-92A6-404D-A386-5585AC1826B3}"/>
    <cellStyle name="40% - Accent4 4 2 4" xfId="9211" xr:uid="{30AC4F8F-3AC8-49D5-BE16-293755208BF9}"/>
    <cellStyle name="40% - Accent4 4 2 5" xfId="17640" xr:uid="{7188A13C-C6F5-4E13-9AD7-3E305C2C7ACD}"/>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7" xr:uid="{E9A90035-2558-439E-B4C2-6B1A21A7CB5A}"/>
    <cellStyle name="40% - Accent4 4 3 2 2 3" xfId="24415" xr:uid="{FA7E4115-82C2-48E9-8B66-DFBD6EE41BE2}"/>
    <cellStyle name="40% - Accent4 4 3 2 3" xfId="11769" xr:uid="{11036F8C-3B6B-4975-BF24-27741410936D}"/>
    <cellStyle name="40% - Accent4 4 3 2 4" xfId="20198" xr:uid="{265B284B-029E-4778-A3A6-D5DE19FC73C0}"/>
    <cellStyle name="40% - Accent4 4 3 3" xfId="5413" xr:uid="{00000000-0005-0000-0000-000022060000}"/>
    <cellStyle name="40% - Accent4 4 3 3 2" xfId="13842" xr:uid="{2B6B947A-C8F1-4566-AE59-E67EC1BEA1C2}"/>
    <cellStyle name="40% - Accent4 4 3 3 3" xfId="22270" xr:uid="{A82DC758-C6AB-4EE0-A9BE-12D7D67C0CBF}"/>
    <cellStyle name="40% - Accent4 4 3 4" xfId="9624" xr:uid="{7FEDFF7A-6FCC-4A0F-9D49-01685731DFC4}"/>
    <cellStyle name="40% - Accent4 4 3 5" xfId="18053" xr:uid="{5BB48D71-1622-48AD-B201-56ED64258D1C}"/>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400" xr:uid="{23EF92E7-5B6D-45F1-8F5C-94C0D617FB05}"/>
    <cellStyle name="40% - Accent4 4 4 2 2 3" xfId="24828" xr:uid="{672DFCDB-CE31-4B8C-933D-46345CBC3822}"/>
    <cellStyle name="40% - Accent4 4 4 2 3" xfId="12182" xr:uid="{699582BC-ADD4-426F-9795-9C85C55796E5}"/>
    <cellStyle name="40% - Accent4 4 4 2 4" xfId="20611" xr:uid="{E97A2CD5-7713-470F-A55C-818BBB2ECF61}"/>
    <cellStyle name="40% - Accent4 4 4 3" xfId="5826" xr:uid="{00000000-0005-0000-0000-000026060000}"/>
    <cellStyle name="40% - Accent4 4 4 3 2" xfId="14255" xr:uid="{3947B1EA-51EB-4327-A140-0AACE1E073D1}"/>
    <cellStyle name="40% - Accent4 4 4 3 3" xfId="22683" xr:uid="{86E74878-0328-4C8C-BD57-652A5921990F}"/>
    <cellStyle name="40% - Accent4 4 4 4" xfId="10037" xr:uid="{129494A1-EA82-48E6-952D-8A0C57B9E021}"/>
    <cellStyle name="40% - Accent4 4 4 5" xfId="18466" xr:uid="{D4F04DAF-D1FB-4835-8912-3DD513DF4493}"/>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13" xr:uid="{31E932CB-09FB-47A7-9952-6A80273E6471}"/>
    <cellStyle name="40% - Accent4 4 5 2 2 3" xfId="25241" xr:uid="{C126D8C0-DE94-460C-B11E-0356BF42F4F7}"/>
    <cellStyle name="40% - Accent4 4 5 2 3" xfId="12595" xr:uid="{BF71A309-2E9D-49CA-AC08-A7CEBD2789AA}"/>
    <cellStyle name="40% - Accent4 4 5 2 4" xfId="21024" xr:uid="{D2212120-62E0-4677-BAB0-90E98295EAD0}"/>
    <cellStyle name="40% - Accent4 4 5 3" xfId="6239" xr:uid="{00000000-0005-0000-0000-00002A060000}"/>
    <cellStyle name="40% - Accent4 4 5 3 2" xfId="14668" xr:uid="{BB5B4BC1-E007-43AA-8AB5-789F70492C72}"/>
    <cellStyle name="40% - Accent4 4 5 3 3" xfId="23096" xr:uid="{C2F5CDA0-4626-4B65-B4A9-B2B2CBFE8C64}"/>
    <cellStyle name="40% - Accent4 4 5 4" xfId="10450" xr:uid="{B488F2FD-6B6A-40A9-9F06-0A45F016C3A1}"/>
    <cellStyle name="40% - Accent4 4 5 5" xfId="18879" xr:uid="{CCDD9305-B5A4-4ED5-8A9F-04CF6EC0903D}"/>
    <cellStyle name="40% - Accent4 4 6" xfId="2344" xr:uid="{00000000-0005-0000-0000-00002B060000}"/>
    <cellStyle name="40% - Accent4 4 6 2" xfId="6652" xr:uid="{00000000-0005-0000-0000-00002C060000}"/>
    <cellStyle name="40% - Accent4 4 6 2 2" xfId="15081" xr:uid="{F4D1AA28-A4AF-46F5-8B96-CCC9EE825F0E}"/>
    <cellStyle name="40% - Accent4 4 6 2 3" xfId="23509" xr:uid="{A9EBB8E3-FD6C-4D96-A3AD-22DFA0DC33D5}"/>
    <cellStyle name="40% - Accent4 4 6 3" xfId="10863" xr:uid="{929757AA-A69A-4840-AA95-72015F92B883}"/>
    <cellStyle name="40% - Accent4 4 6 4" xfId="19292" xr:uid="{F94C9126-A5B7-423E-960D-F8334865BD95}"/>
    <cellStyle name="40% - Accent4 4 7" xfId="4586" xr:uid="{00000000-0005-0000-0000-00002D060000}"/>
    <cellStyle name="40% - Accent4 4 7 2" xfId="13015" xr:uid="{7308AEAF-858F-405B-A498-38E9FFC55086}"/>
    <cellStyle name="40% - Accent4 4 7 3" xfId="21443" xr:uid="{F8C1E1BE-E2A4-4ABF-B8C8-F2BC47991030}"/>
    <cellStyle name="40% - Accent4 4 8" xfId="8797" xr:uid="{A6FB3BC3-0EEB-41DF-947A-7790AAF4BA7D}"/>
    <cellStyle name="40% - Accent4 4 9" xfId="17226" xr:uid="{228939A2-BC07-4C60-BD8F-7FB0F2D47F3D}"/>
    <cellStyle name="40% - Accent4 5" xfId="643" xr:uid="{00000000-0005-0000-0000-00002E060000}"/>
    <cellStyle name="40% - Accent4 5 2" xfId="2914" xr:uid="{00000000-0005-0000-0000-00002F060000}"/>
    <cellStyle name="40% - Accent4 5 2 2" xfId="7138" xr:uid="{00000000-0005-0000-0000-000030060000}"/>
    <cellStyle name="40% - Accent4 5 2 2 2" xfId="15567" xr:uid="{92DCC312-46B2-460B-8DD0-C7A0D991AAAD}"/>
    <cellStyle name="40% - Accent4 5 2 2 3" xfId="23995" xr:uid="{C635EA09-7622-4127-9F8C-39E579D28628}"/>
    <cellStyle name="40% - Accent4 5 2 3" xfId="11349" xr:uid="{E90B01C7-237A-4561-8020-29F5C0EA35CD}"/>
    <cellStyle name="40% - Accent4 5 2 4" xfId="19778" xr:uid="{F5E13D88-F935-4C70-8485-C45EA8099BD6}"/>
    <cellStyle name="40% - Accent4 5 3" xfId="4993" xr:uid="{00000000-0005-0000-0000-000031060000}"/>
    <cellStyle name="40% - Accent4 5 3 2" xfId="13422" xr:uid="{2F5F02E8-A521-4C85-B055-49031DB69C1E}"/>
    <cellStyle name="40% - Accent4 5 3 3" xfId="21850" xr:uid="{C2C0B841-13B0-46FD-B4C6-4D0623463472}"/>
    <cellStyle name="40% - Accent4 5 4" xfId="9204" xr:uid="{695EC0CB-B29B-486B-A56C-1E230B02A561}"/>
    <cellStyle name="40% - Accent4 5 5" xfId="17633" xr:uid="{8625B43B-373E-4A13-8823-8A77ED077382}"/>
    <cellStyle name="40% - Accent4 6" xfId="1096" xr:uid="{00000000-0005-0000-0000-000032060000}"/>
    <cellStyle name="40% - Accent4 6 2" xfId="3327" xr:uid="{00000000-0005-0000-0000-000033060000}"/>
    <cellStyle name="40% - Accent4 6 2 2" xfId="7551" xr:uid="{00000000-0005-0000-0000-000034060000}"/>
    <cellStyle name="40% - Accent4 6 2 2 2" xfId="15980" xr:uid="{2E02B97B-A34F-4E87-AE6A-4FBD36B2CC54}"/>
    <cellStyle name="40% - Accent4 6 2 2 3" xfId="24408" xr:uid="{259B1A59-6388-45D3-A426-3C291E4CBF12}"/>
    <cellStyle name="40% - Accent4 6 2 3" xfId="11762" xr:uid="{3955CDCF-31A2-43EB-95EF-FC2EE44122C8}"/>
    <cellStyle name="40% - Accent4 6 2 4" xfId="20191" xr:uid="{0F3BA638-8C9F-4F04-8286-5DC24CE208D6}"/>
    <cellStyle name="40% - Accent4 6 3" xfId="5406" xr:uid="{00000000-0005-0000-0000-000035060000}"/>
    <cellStyle name="40% - Accent4 6 3 2" xfId="13835" xr:uid="{107BD4A0-6A0C-48CF-9666-2A03C40693D7}"/>
    <cellStyle name="40% - Accent4 6 3 3" xfId="22263" xr:uid="{48A45C0F-EEA4-4FC3-885B-91C1806B8F01}"/>
    <cellStyle name="40% - Accent4 6 4" xfId="9617" xr:uid="{D700FAC4-56C9-4AC5-A5EC-96B3FB636088}"/>
    <cellStyle name="40% - Accent4 6 5" xfId="18046" xr:uid="{A0ADA693-B619-40D2-A687-2975DB70B270}"/>
    <cellStyle name="40% - Accent4 7" xfId="1510" xr:uid="{00000000-0005-0000-0000-000036060000}"/>
    <cellStyle name="40% - Accent4 7 2" xfId="3740" xr:uid="{00000000-0005-0000-0000-000037060000}"/>
    <cellStyle name="40% - Accent4 7 2 2" xfId="7964" xr:uid="{00000000-0005-0000-0000-000038060000}"/>
    <cellStyle name="40% - Accent4 7 2 2 2" xfId="16393" xr:uid="{7CD8788C-D97C-4668-9422-A64C5BFCBEE0}"/>
    <cellStyle name="40% - Accent4 7 2 2 3" xfId="24821" xr:uid="{07EE5B06-9C64-45B5-B79E-3FE1B113871D}"/>
    <cellStyle name="40% - Accent4 7 2 3" xfId="12175" xr:uid="{28DEF07B-8B6F-4762-B297-2D91255E7A2A}"/>
    <cellStyle name="40% - Accent4 7 2 4" xfId="20604" xr:uid="{1E8E5C8C-B2C2-480C-9403-004A1FA16390}"/>
    <cellStyle name="40% - Accent4 7 3" xfId="5819" xr:uid="{00000000-0005-0000-0000-000039060000}"/>
    <cellStyle name="40% - Accent4 7 3 2" xfId="14248" xr:uid="{E5031EA6-2E8C-4A25-A1DD-B5E60575907E}"/>
    <cellStyle name="40% - Accent4 7 3 3" xfId="22676" xr:uid="{AD7136E0-2C86-4E11-9FC2-79B60692DA25}"/>
    <cellStyle name="40% - Accent4 7 4" xfId="10030" xr:uid="{D2F43956-EDDF-44FD-A4DF-8BBCA8A09707}"/>
    <cellStyle name="40% - Accent4 7 5" xfId="18459" xr:uid="{60125085-364A-4B08-8438-4157739CF086}"/>
    <cellStyle name="40% - Accent4 8" xfId="1924" xr:uid="{00000000-0005-0000-0000-00003A060000}"/>
    <cellStyle name="40% - Accent4 8 2" xfId="4153" xr:uid="{00000000-0005-0000-0000-00003B060000}"/>
    <cellStyle name="40% - Accent4 8 2 2" xfId="8377" xr:uid="{00000000-0005-0000-0000-00003C060000}"/>
    <cellStyle name="40% - Accent4 8 2 2 2" xfId="16806" xr:uid="{4D686DA5-F91B-4653-B384-A2E810EFD18C}"/>
    <cellStyle name="40% - Accent4 8 2 2 3" xfId="25234" xr:uid="{CAB3905C-83FA-40D2-B3EB-EDDF95CB3419}"/>
    <cellStyle name="40% - Accent4 8 2 3" xfId="12588" xr:uid="{70A0F9A2-1484-4253-93F3-37AD86B5D6E3}"/>
    <cellStyle name="40% - Accent4 8 2 4" xfId="21017" xr:uid="{6D6FED88-5433-4EE6-9756-E675EBF67EFD}"/>
    <cellStyle name="40% - Accent4 8 3" xfId="6232" xr:uid="{00000000-0005-0000-0000-00003D060000}"/>
    <cellStyle name="40% - Accent4 8 3 2" xfId="14661" xr:uid="{62624157-7A9B-4654-A6E1-5B06AF397C2E}"/>
    <cellStyle name="40% - Accent4 8 3 3" xfId="23089" xr:uid="{C9827B94-1AA9-401C-9040-FFF43960FB97}"/>
    <cellStyle name="40% - Accent4 8 4" xfId="10443" xr:uid="{D07CEEDB-361D-45C3-A51F-A18496EBCBC3}"/>
    <cellStyle name="40% - Accent4 8 5" xfId="18872" xr:uid="{1E09C0AE-9B40-41D8-9209-AB2FB9B21EF7}"/>
    <cellStyle name="40% - Accent4 9" xfId="2337" xr:uid="{00000000-0005-0000-0000-00003E060000}"/>
    <cellStyle name="40% - Accent4 9 2" xfId="6645" xr:uid="{00000000-0005-0000-0000-00003F060000}"/>
    <cellStyle name="40% - Accent4 9 2 2" xfId="15074" xr:uid="{3F0172EA-676A-4118-9D2C-59F1072AC8D6}"/>
    <cellStyle name="40% - Accent4 9 2 3" xfId="23502" xr:uid="{281B0F51-2D4E-4210-AB8B-1E95FB48551E}"/>
    <cellStyle name="40% - Accent4 9 3" xfId="10856" xr:uid="{23447E63-6C3B-4EDA-A53C-DFA1A33E76F3}"/>
    <cellStyle name="40% - Accent4 9 4" xfId="19285" xr:uid="{8CAF0CD8-FD62-4103-BAA8-9D57AC8FE2CA}"/>
    <cellStyle name="40% - Accent5" xfId="81" builtinId="47" customBuiltin="1"/>
    <cellStyle name="40% - Accent5 10" xfId="4587" xr:uid="{00000000-0005-0000-0000-000041060000}"/>
    <cellStyle name="40% - Accent5 10 2" xfId="13016" xr:uid="{C4996ACF-2A72-40F1-9B99-A173C6F4790C}"/>
    <cellStyle name="40% - Accent5 10 3" xfId="21444" xr:uid="{88A44C8B-0827-4E7A-8C51-40565E7D77D3}"/>
    <cellStyle name="40% - Accent5 11" xfId="8798" xr:uid="{373543D2-0428-4D65-8A75-C2894A6D4EA9}"/>
    <cellStyle name="40% - Accent5 12" xfId="17227" xr:uid="{5A000C4C-D0C4-4B04-B39A-E13B6F5608E7}"/>
    <cellStyle name="40% - Accent5 2" xfId="82" xr:uid="{00000000-0005-0000-0000-000042060000}"/>
    <cellStyle name="40% - Accent5 2 10" xfId="8799" xr:uid="{FC80D381-8D9B-4BF3-98C5-B8127045955D}"/>
    <cellStyle name="40% - Accent5 2 11" xfId="17228" xr:uid="{F5DACCE4-A9A1-4AFD-95B1-17E71E9E33CB}"/>
    <cellStyle name="40% - Accent5 2 2" xfId="83" xr:uid="{00000000-0005-0000-0000-000043060000}"/>
    <cellStyle name="40% - Accent5 2 2 10" xfId="17229" xr:uid="{662EC230-27A9-40BF-9DA2-6D5F8630F4EE}"/>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8" xr:uid="{6EA89B6B-1A2A-4E03-9454-A8B57140DA75}"/>
    <cellStyle name="40% - Accent5 2 2 2 2 2 2 3" xfId="24006" xr:uid="{9BB09221-F094-4C46-AA37-03CC6A2C482A}"/>
    <cellStyle name="40% - Accent5 2 2 2 2 2 3" xfId="11360" xr:uid="{360E24CD-A1F6-4489-ACC7-30B3EB539527}"/>
    <cellStyle name="40% - Accent5 2 2 2 2 2 4" xfId="19789" xr:uid="{1E0BB246-5486-4E46-8359-4A51C91FCDC2}"/>
    <cellStyle name="40% - Accent5 2 2 2 2 3" xfId="5004" xr:uid="{00000000-0005-0000-0000-000048060000}"/>
    <cellStyle name="40% - Accent5 2 2 2 2 3 2" xfId="13433" xr:uid="{5141A4BE-3E98-4265-8E53-BE97040C38F2}"/>
    <cellStyle name="40% - Accent5 2 2 2 2 3 3" xfId="21861" xr:uid="{973CCFDC-95B0-49C9-87C1-81C7C53AAEC1}"/>
    <cellStyle name="40% - Accent5 2 2 2 2 4" xfId="9215" xr:uid="{2C4504B8-DFF2-4B1A-872A-F208083CF080}"/>
    <cellStyle name="40% - Accent5 2 2 2 2 5" xfId="17644" xr:uid="{74909A6C-5399-4E62-BA58-1071BFFCAC0E}"/>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91" xr:uid="{3B4B816B-5C32-4290-BFBF-007083397A7D}"/>
    <cellStyle name="40% - Accent5 2 2 2 3 2 2 3" xfId="24419" xr:uid="{C70EB661-6DFA-47BA-8F09-5A0BC435B5F9}"/>
    <cellStyle name="40% - Accent5 2 2 2 3 2 3" xfId="11773" xr:uid="{F973E54C-710B-4883-8F4F-3BECD0620060}"/>
    <cellStyle name="40% - Accent5 2 2 2 3 2 4" xfId="20202" xr:uid="{4F6165CD-4090-4C22-80EE-65201237362F}"/>
    <cellStyle name="40% - Accent5 2 2 2 3 3" xfId="5417" xr:uid="{00000000-0005-0000-0000-00004C060000}"/>
    <cellStyle name="40% - Accent5 2 2 2 3 3 2" xfId="13846" xr:uid="{DF7EB388-2550-4759-A844-2B5B5D055B75}"/>
    <cellStyle name="40% - Accent5 2 2 2 3 3 3" xfId="22274" xr:uid="{F25DDD58-538D-455A-A95E-F9BA1FCD79DC}"/>
    <cellStyle name="40% - Accent5 2 2 2 3 4" xfId="9628" xr:uid="{CD7A3612-A21A-419B-A0D1-ADE5AEA4D682}"/>
    <cellStyle name="40% - Accent5 2 2 2 3 5" xfId="18057" xr:uid="{E776C4A1-86A5-4B51-9B0B-CB87ACCF187F}"/>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404" xr:uid="{FE8AC1A6-2ED6-44E2-A796-728F47C623BC}"/>
    <cellStyle name="40% - Accent5 2 2 2 4 2 2 3" xfId="24832" xr:uid="{57749D5D-ABF3-4FFC-98DF-DF6E33B6A060}"/>
    <cellStyle name="40% - Accent5 2 2 2 4 2 3" xfId="12186" xr:uid="{95AD1179-F972-46C1-86A4-7E35B758A179}"/>
    <cellStyle name="40% - Accent5 2 2 2 4 2 4" xfId="20615" xr:uid="{6AFFA1C6-0EE8-47FD-8D5B-4DDD52314107}"/>
    <cellStyle name="40% - Accent5 2 2 2 4 3" xfId="5830" xr:uid="{00000000-0005-0000-0000-000050060000}"/>
    <cellStyle name="40% - Accent5 2 2 2 4 3 2" xfId="14259" xr:uid="{53246F47-4A2A-4FC5-98C3-AD1C6484C0E9}"/>
    <cellStyle name="40% - Accent5 2 2 2 4 3 3" xfId="22687" xr:uid="{2FD7D397-1A16-45AA-A332-E7BEE4D5D729}"/>
    <cellStyle name="40% - Accent5 2 2 2 4 4" xfId="10041" xr:uid="{61080998-AF92-4F9D-B231-B759AD1B6A1F}"/>
    <cellStyle name="40% - Accent5 2 2 2 4 5" xfId="18470" xr:uid="{7C3E179E-CB5E-4D79-B9C4-FE6C3B6DBDB8}"/>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7" xr:uid="{5C0AB53D-1C23-4B85-BC18-AD7B4943B756}"/>
    <cellStyle name="40% - Accent5 2 2 2 5 2 2 3" xfId="25245" xr:uid="{0CCC8136-BDE3-4B66-A9CF-FCF4065AD06F}"/>
    <cellStyle name="40% - Accent5 2 2 2 5 2 3" xfId="12599" xr:uid="{F3CB9432-858B-45E2-818C-0F4F09C3AA91}"/>
    <cellStyle name="40% - Accent5 2 2 2 5 2 4" xfId="21028" xr:uid="{312E8ED2-2127-4A39-9D88-B85D5A58CC4E}"/>
    <cellStyle name="40% - Accent5 2 2 2 5 3" xfId="6243" xr:uid="{00000000-0005-0000-0000-000054060000}"/>
    <cellStyle name="40% - Accent5 2 2 2 5 3 2" xfId="14672" xr:uid="{C347F4A0-8832-4383-957A-50C4CAB37275}"/>
    <cellStyle name="40% - Accent5 2 2 2 5 3 3" xfId="23100" xr:uid="{F0A63C20-7651-4F6C-94C9-A97567D85FE5}"/>
    <cellStyle name="40% - Accent5 2 2 2 5 4" xfId="10454" xr:uid="{82A4A8F5-4B0A-4D94-9635-269CCAC80EDE}"/>
    <cellStyle name="40% - Accent5 2 2 2 5 5" xfId="18883" xr:uid="{27265FB4-E9CF-4872-BFE4-28FC53CF35DA}"/>
    <cellStyle name="40% - Accent5 2 2 2 6" xfId="2348" xr:uid="{00000000-0005-0000-0000-000055060000}"/>
    <cellStyle name="40% - Accent5 2 2 2 6 2" xfId="6656" xr:uid="{00000000-0005-0000-0000-000056060000}"/>
    <cellStyle name="40% - Accent5 2 2 2 6 2 2" xfId="15085" xr:uid="{0BDD5AF7-4379-4553-89C8-2BEDCB9401AD}"/>
    <cellStyle name="40% - Accent5 2 2 2 6 2 3" xfId="23513" xr:uid="{FB0C10B1-AA73-41B0-BBDB-50C6738AB4E2}"/>
    <cellStyle name="40% - Accent5 2 2 2 6 3" xfId="10867" xr:uid="{0539A3F4-A1F9-4C88-BD8E-CD52DFCAD50E}"/>
    <cellStyle name="40% - Accent5 2 2 2 6 4" xfId="19296" xr:uid="{E35AEC3F-E482-4FE9-807B-683AAD99DB9A}"/>
    <cellStyle name="40% - Accent5 2 2 2 7" xfId="4590" xr:uid="{00000000-0005-0000-0000-000057060000}"/>
    <cellStyle name="40% - Accent5 2 2 2 7 2" xfId="13019" xr:uid="{34FD4697-684E-4491-B1A1-744C2B418019}"/>
    <cellStyle name="40% - Accent5 2 2 2 7 3" xfId="21447" xr:uid="{37F83F15-446C-4531-AB3E-5D18EAF6E2AA}"/>
    <cellStyle name="40% - Accent5 2 2 2 8" xfId="8801" xr:uid="{E5FB7C15-2321-482D-9233-33AB21B16692}"/>
    <cellStyle name="40% - Accent5 2 2 2 9" xfId="17230" xr:uid="{46F35982-94B8-458D-8D14-0B7B3363580A}"/>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7" xr:uid="{FCEFF47F-A362-4295-9B6D-7B585348B2DB}"/>
    <cellStyle name="40% - Accent5 2 2 3 2 2 3" xfId="24005" xr:uid="{013813AA-B56A-4E42-8A7F-10B30FFBEDC4}"/>
    <cellStyle name="40% - Accent5 2 2 3 2 3" xfId="11359" xr:uid="{AFB91768-79D8-4A2E-8512-EA82DAC574C7}"/>
    <cellStyle name="40% - Accent5 2 2 3 2 4" xfId="19788" xr:uid="{49EEA08E-FEE7-48FE-9291-EC16251B7133}"/>
    <cellStyle name="40% - Accent5 2 2 3 3" xfId="5003" xr:uid="{00000000-0005-0000-0000-00005B060000}"/>
    <cellStyle name="40% - Accent5 2 2 3 3 2" xfId="13432" xr:uid="{FC32086C-9B47-458F-9A07-D5AF9AA3AF36}"/>
    <cellStyle name="40% - Accent5 2 2 3 3 3" xfId="21860" xr:uid="{3534547F-90EF-4EED-9DD6-55F75D10CD13}"/>
    <cellStyle name="40% - Accent5 2 2 3 4" xfId="9214" xr:uid="{FB5017AC-AE7D-4A33-B7A6-A47BD9CF437B}"/>
    <cellStyle name="40% - Accent5 2 2 3 5" xfId="17643" xr:uid="{16E74CD3-CA03-4055-8CFD-D57B6FE80DC7}"/>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90" xr:uid="{8B9FA94A-57C9-4F95-986B-B2BBE3CC7FBF}"/>
    <cellStyle name="40% - Accent5 2 2 4 2 2 3" xfId="24418" xr:uid="{01C59F13-D6EC-47B0-9FCB-BC49BBB8D730}"/>
    <cellStyle name="40% - Accent5 2 2 4 2 3" xfId="11772" xr:uid="{B845F292-9C06-420A-BC20-88C8C0F7557E}"/>
    <cellStyle name="40% - Accent5 2 2 4 2 4" xfId="20201" xr:uid="{2AE51011-1101-446D-A870-48F278821E19}"/>
    <cellStyle name="40% - Accent5 2 2 4 3" xfId="5416" xr:uid="{00000000-0005-0000-0000-00005F060000}"/>
    <cellStyle name="40% - Accent5 2 2 4 3 2" xfId="13845" xr:uid="{3A61534B-E33F-464E-A893-6660070565A7}"/>
    <cellStyle name="40% - Accent5 2 2 4 3 3" xfId="22273" xr:uid="{F81D3FDD-85DC-41AC-A2B7-0772AFD17948}"/>
    <cellStyle name="40% - Accent5 2 2 4 4" xfId="9627" xr:uid="{A7EE53EC-0236-4219-A348-E458DB875106}"/>
    <cellStyle name="40% - Accent5 2 2 4 5" xfId="18056" xr:uid="{F749F0B5-B1D2-4821-8039-9619BDCA3D2A}"/>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403" xr:uid="{DC327327-1F6E-4CE3-89C5-9C894E79CFF7}"/>
    <cellStyle name="40% - Accent5 2 2 5 2 2 3" xfId="24831" xr:uid="{A738524F-AAE9-4001-8D2C-6896493D8001}"/>
    <cellStyle name="40% - Accent5 2 2 5 2 3" xfId="12185" xr:uid="{004CE9C9-8B6B-4989-BD1D-2BB09106C736}"/>
    <cellStyle name="40% - Accent5 2 2 5 2 4" xfId="20614" xr:uid="{43CFE835-963F-4287-B244-99BD80AF5AAA}"/>
    <cellStyle name="40% - Accent5 2 2 5 3" xfId="5829" xr:uid="{00000000-0005-0000-0000-000063060000}"/>
    <cellStyle name="40% - Accent5 2 2 5 3 2" xfId="14258" xr:uid="{761AE21E-E125-48C8-9CB6-9D8A0F204217}"/>
    <cellStyle name="40% - Accent5 2 2 5 3 3" xfId="22686" xr:uid="{1FAEA0AA-34C9-4DDF-99A2-08F752F1B0C6}"/>
    <cellStyle name="40% - Accent5 2 2 5 4" xfId="10040" xr:uid="{9F8C4D96-46A6-4E78-BDAA-27AA073D860B}"/>
    <cellStyle name="40% - Accent5 2 2 5 5" xfId="18469" xr:uid="{2D5BA272-C29D-457B-A80F-7CCB8FA8530B}"/>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16" xr:uid="{2B436BF9-EA75-4957-BA21-47512B2CB64C}"/>
    <cellStyle name="40% - Accent5 2 2 6 2 2 3" xfId="25244" xr:uid="{BAD95ED6-0F71-4A74-B35B-C512756FF37F}"/>
    <cellStyle name="40% - Accent5 2 2 6 2 3" xfId="12598" xr:uid="{EA8A9C15-63BE-46ED-822B-05C23732E931}"/>
    <cellStyle name="40% - Accent5 2 2 6 2 4" xfId="21027" xr:uid="{06E4EA0F-4681-42E1-9A51-66086D3898E9}"/>
    <cellStyle name="40% - Accent5 2 2 6 3" xfId="6242" xr:uid="{00000000-0005-0000-0000-000067060000}"/>
    <cellStyle name="40% - Accent5 2 2 6 3 2" xfId="14671" xr:uid="{9DAFE80F-9D1B-4121-9845-64EE80A85FBF}"/>
    <cellStyle name="40% - Accent5 2 2 6 3 3" xfId="23099" xr:uid="{F3B62578-1868-4363-BF0F-A9919E8890B6}"/>
    <cellStyle name="40% - Accent5 2 2 6 4" xfId="10453" xr:uid="{91FCB6B8-0001-4FC0-BA3C-0C7F6F41FCF8}"/>
    <cellStyle name="40% - Accent5 2 2 6 5" xfId="18882" xr:uid="{303EC2B9-CBA2-4D50-8BDB-C2DC8E53EA9A}"/>
    <cellStyle name="40% - Accent5 2 2 7" xfId="2347" xr:uid="{00000000-0005-0000-0000-000068060000}"/>
    <cellStyle name="40% - Accent5 2 2 7 2" xfId="6655" xr:uid="{00000000-0005-0000-0000-000069060000}"/>
    <cellStyle name="40% - Accent5 2 2 7 2 2" xfId="15084" xr:uid="{F59FBD62-B4FA-4BB6-AFF0-4162A5DEC12A}"/>
    <cellStyle name="40% - Accent5 2 2 7 2 3" xfId="23512" xr:uid="{EA5CF603-29BD-4735-B448-1B7335323C31}"/>
    <cellStyle name="40% - Accent5 2 2 7 3" xfId="10866" xr:uid="{3B94FD76-FAB0-4C06-BE6E-145688378898}"/>
    <cellStyle name="40% - Accent5 2 2 7 4" xfId="19295" xr:uid="{59E41791-0152-47BD-8326-439BD3CAC201}"/>
    <cellStyle name="40% - Accent5 2 2 8" xfId="4589" xr:uid="{00000000-0005-0000-0000-00006A060000}"/>
    <cellStyle name="40% - Accent5 2 2 8 2" xfId="13018" xr:uid="{066F4CE6-3595-45A2-9E63-2D928573E8E7}"/>
    <cellStyle name="40% - Accent5 2 2 8 3" xfId="21446" xr:uid="{8BCF16F2-AC28-4CD5-B44B-90ACCE4C9FC8}"/>
    <cellStyle name="40% - Accent5 2 2 9" xfId="8800" xr:uid="{88820251-8527-47F3-B77A-ED213544A78C}"/>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9" xr:uid="{BFFA954F-5EA8-42D3-BE8B-D4BDFA624234}"/>
    <cellStyle name="40% - Accent5 2 3 2 2 2 3" xfId="24007" xr:uid="{E19BE34F-9F5B-4CB3-90D6-4DB1BF41B750}"/>
    <cellStyle name="40% - Accent5 2 3 2 2 3" xfId="11361" xr:uid="{EBD48425-0851-4882-88A4-E5FB929D0207}"/>
    <cellStyle name="40% - Accent5 2 3 2 2 4" xfId="19790" xr:uid="{4F858429-4D20-4384-AB26-E851B12056C6}"/>
    <cellStyle name="40% - Accent5 2 3 2 3" xfId="5005" xr:uid="{00000000-0005-0000-0000-00006F060000}"/>
    <cellStyle name="40% - Accent5 2 3 2 3 2" xfId="13434" xr:uid="{657B6133-67B7-4BA9-BC15-454E555EE08E}"/>
    <cellStyle name="40% - Accent5 2 3 2 3 3" xfId="21862" xr:uid="{E15B6388-1497-4B7D-81CE-8073A54F16C8}"/>
    <cellStyle name="40% - Accent5 2 3 2 4" xfId="9216" xr:uid="{DD77997E-C01E-4128-A3ED-36F567D80E83}"/>
    <cellStyle name="40% - Accent5 2 3 2 5" xfId="17645" xr:uid="{87C91CA8-8ABF-4141-B952-236FBDB518FE}"/>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92" xr:uid="{5ACA3131-74BA-4F54-BE84-FAB21900902D}"/>
    <cellStyle name="40% - Accent5 2 3 3 2 2 3" xfId="24420" xr:uid="{AD15D61F-97F3-4E8E-A639-AB514883DA91}"/>
    <cellStyle name="40% - Accent5 2 3 3 2 3" xfId="11774" xr:uid="{C4464B02-075C-4550-A266-B9EC7731569D}"/>
    <cellStyle name="40% - Accent5 2 3 3 2 4" xfId="20203" xr:uid="{D3A60D2E-4876-4FB6-B1F6-7EEB47C15DB2}"/>
    <cellStyle name="40% - Accent5 2 3 3 3" xfId="5418" xr:uid="{00000000-0005-0000-0000-000073060000}"/>
    <cellStyle name="40% - Accent5 2 3 3 3 2" xfId="13847" xr:uid="{EEFAADDD-9785-43DD-BDFA-B7C0327EA565}"/>
    <cellStyle name="40% - Accent5 2 3 3 3 3" xfId="22275" xr:uid="{9B960EAC-2027-4E53-A8B9-E488CBE3798C}"/>
    <cellStyle name="40% - Accent5 2 3 3 4" xfId="9629" xr:uid="{74C0D6BD-B211-408A-8D72-95EE141540D7}"/>
    <cellStyle name="40% - Accent5 2 3 3 5" xfId="18058" xr:uid="{1101024E-5A36-470E-866C-5D7B39025143}"/>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405" xr:uid="{09396A5F-360C-467B-913B-2174FC9BD13D}"/>
    <cellStyle name="40% - Accent5 2 3 4 2 2 3" xfId="24833" xr:uid="{6E917D6D-AFAB-4323-98CC-10544303BDD1}"/>
    <cellStyle name="40% - Accent5 2 3 4 2 3" xfId="12187" xr:uid="{1B09AA0D-B370-406D-B923-4185C3DD0347}"/>
    <cellStyle name="40% - Accent5 2 3 4 2 4" xfId="20616" xr:uid="{9B697FB6-4DC4-4927-875A-95D6E4124A2D}"/>
    <cellStyle name="40% - Accent5 2 3 4 3" xfId="5831" xr:uid="{00000000-0005-0000-0000-000077060000}"/>
    <cellStyle name="40% - Accent5 2 3 4 3 2" xfId="14260" xr:uid="{34DC0AC5-D0D0-41AA-AA2C-136A7568D457}"/>
    <cellStyle name="40% - Accent5 2 3 4 3 3" xfId="22688" xr:uid="{DB7115E8-21D4-4A71-967B-088B5DD0BE40}"/>
    <cellStyle name="40% - Accent5 2 3 4 4" xfId="10042" xr:uid="{B84CEACC-EAA6-46C5-8D1D-8CD1EE51D1CE}"/>
    <cellStyle name="40% - Accent5 2 3 4 5" xfId="18471" xr:uid="{5407DD6F-B7D1-4804-B131-4A2BDA07B553}"/>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8" xr:uid="{0ECF9363-9AB3-41B4-8224-450998021F81}"/>
    <cellStyle name="40% - Accent5 2 3 5 2 2 3" xfId="25246" xr:uid="{E0F65493-0FF6-4E9A-B4B3-0BFC4DA3E9BD}"/>
    <cellStyle name="40% - Accent5 2 3 5 2 3" xfId="12600" xr:uid="{E3342A64-ABAF-4CD6-A4ED-809352421A04}"/>
    <cellStyle name="40% - Accent5 2 3 5 2 4" xfId="21029" xr:uid="{9B0EFC00-2108-4E29-9DF4-5EC277644228}"/>
    <cellStyle name="40% - Accent5 2 3 5 3" xfId="6244" xr:uid="{00000000-0005-0000-0000-00007B060000}"/>
    <cellStyle name="40% - Accent5 2 3 5 3 2" xfId="14673" xr:uid="{BB6DD160-E39A-4B41-BB43-51B7DD0A8431}"/>
    <cellStyle name="40% - Accent5 2 3 5 3 3" xfId="23101" xr:uid="{AED9CAA2-D947-4886-9F3A-2DF285239AFB}"/>
    <cellStyle name="40% - Accent5 2 3 5 4" xfId="10455" xr:uid="{912188CE-D84C-4957-9CA8-5C8A774D0CB5}"/>
    <cellStyle name="40% - Accent5 2 3 5 5" xfId="18884" xr:uid="{E43ACDE6-CE52-4D8A-9F07-3764062292CE}"/>
    <cellStyle name="40% - Accent5 2 3 6" xfId="2349" xr:uid="{00000000-0005-0000-0000-00007C060000}"/>
    <cellStyle name="40% - Accent5 2 3 6 2" xfId="6657" xr:uid="{00000000-0005-0000-0000-00007D060000}"/>
    <cellStyle name="40% - Accent5 2 3 6 2 2" xfId="15086" xr:uid="{AF94A321-CAF8-4051-AF92-6D58C9B97DE6}"/>
    <cellStyle name="40% - Accent5 2 3 6 2 3" xfId="23514" xr:uid="{B055FF3A-AFE1-444F-ACD8-3FCF43D51C89}"/>
    <cellStyle name="40% - Accent5 2 3 6 3" xfId="10868" xr:uid="{551D2385-F8C8-477F-B1DD-86F458B2D5A0}"/>
    <cellStyle name="40% - Accent5 2 3 6 4" xfId="19297" xr:uid="{48CB7E21-2F6F-4CCF-8D6D-1E4807A3EC69}"/>
    <cellStyle name="40% - Accent5 2 3 7" xfId="4591" xr:uid="{00000000-0005-0000-0000-00007E060000}"/>
    <cellStyle name="40% - Accent5 2 3 7 2" xfId="13020" xr:uid="{8F8F826C-FAD3-4932-AEDC-4FC48B5A70B7}"/>
    <cellStyle name="40% - Accent5 2 3 7 3" xfId="21448" xr:uid="{93960BF2-E236-448C-BF18-FA625F9BBCD5}"/>
    <cellStyle name="40% - Accent5 2 3 8" xfId="8802" xr:uid="{0912E105-C8E7-4D62-82E1-66EC9E94362B}"/>
    <cellStyle name="40% - Accent5 2 3 9" xfId="17231" xr:uid="{F2D2272D-56DC-4D3B-B320-C6F72892814B}"/>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76" xr:uid="{C10A4A97-0DBC-456D-90BE-8272C790B403}"/>
    <cellStyle name="40% - Accent5 2 4 2 2 3" xfId="24004" xr:uid="{A5448D18-DAD0-419D-9458-F27AA90F1EEE}"/>
    <cellStyle name="40% - Accent5 2 4 2 3" xfId="11358" xr:uid="{7ED7CC87-EE84-4B0D-9040-D09E008C76F2}"/>
    <cellStyle name="40% - Accent5 2 4 2 4" xfId="19787" xr:uid="{828CB487-EC4B-4F56-A18C-1DBEEE77B001}"/>
    <cellStyle name="40% - Accent5 2 4 3" xfId="5002" xr:uid="{00000000-0005-0000-0000-000082060000}"/>
    <cellStyle name="40% - Accent5 2 4 3 2" xfId="13431" xr:uid="{427002EE-4C3D-4683-9D45-08935CAD1567}"/>
    <cellStyle name="40% - Accent5 2 4 3 3" xfId="21859" xr:uid="{A712BC4F-7F12-4299-953E-3FA294F7F3CA}"/>
    <cellStyle name="40% - Accent5 2 4 4" xfId="9213" xr:uid="{C09DC9AF-F1ED-456C-BC56-6A75E5FD430C}"/>
    <cellStyle name="40% - Accent5 2 4 5" xfId="17642" xr:uid="{EEF0732E-9525-4A65-B98C-10ACBD952A15}"/>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9" xr:uid="{9858323A-7034-407B-A31C-36F9036414E7}"/>
    <cellStyle name="40% - Accent5 2 5 2 2 3" xfId="24417" xr:uid="{BC93ED7A-2508-4EFA-BF54-FECF3DB8A2B1}"/>
    <cellStyle name="40% - Accent5 2 5 2 3" xfId="11771" xr:uid="{B8DDDB96-6B3A-4F50-9B16-EDDB1DCB8304}"/>
    <cellStyle name="40% - Accent5 2 5 2 4" xfId="20200" xr:uid="{E0859136-5253-4408-BBD7-E8887FD5BDBA}"/>
    <cellStyle name="40% - Accent5 2 5 3" xfId="5415" xr:uid="{00000000-0005-0000-0000-000086060000}"/>
    <cellStyle name="40% - Accent5 2 5 3 2" xfId="13844" xr:uid="{09385A11-19C2-40DF-8D51-AC039CF3844B}"/>
    <cellStyle name="40% - Accent5 2 5 3 3" xfId="22272" xr:uid="{175F2AC9-D05F-49DB-B035-905099AD7A24}"/>
    <cellStyle name="40% - Accent5 2 5 4" xfId="9626" xr:uid="{7A1B0E91-E363-4CB2-88CD-5E41481B3D65}"/>
    <cellStyle name="40% - Accent5 2 5 5" xfId="18055" xr:uid="{CBD8B494-A728-424C-BFA1-B7E6A5F5F06A}"/>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402" xr:uid="{772EC7FE-5B5F-4AEC-A37B-57B57292F881}"/>
    <cellStyle name="40% - Accent5 2 6 2 2 3" xfId="24830" xr:uid="{3CFCC6A1-6785-430D-9EF7-F04FD6960B06}"/>
    <cellStyle name="40% - Accent5 2 6 2 3" xfId="12184" xr:uid="{F72973D0-5A71-488B-8A1E-F29958DA08FB}"/>
    <cellStyle name="40% - Accent5 2 6 2 4" xfId="20613" xr:uid="{005E475A-4CA0-46C1-8DA0-46F647D7CE9A}"/>
    <cellStyle name="40% - Accent5 2 6 3" xfId="5828" xr:uid="{00000000-0005-0000-0000-00008A060000}"/>
    <cellStyle name="40% - Accent5 2 6 3 2" xfId="14257" xr:uid="{8C1AD121-4C87-4D68-A787-8C75D4CBF25E}"/>
    <cellStyle name="40% - Accent5 2 6 3 3" xfId="22685" xr:uid="{4026D06E-93D8-4EC4-ABB7-D9AF79586DD5}"/>
    <cellStyle name="40% - Accent5 2 6 4" xfId="10039" xr:uid="{7A44F5DB-BCB7-4C66-9C33-25402F84D5A8}"/>
    <cellStyle name="40% - Accent5 2 6 5" xfId="18468" xr:uid="{B982E2C9-8F88-413B-95E0-ABC2061E2805}"/>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15" xr:uid="{B270391C-181E-4355-94A4-173C3A0AAADD}"/>
    <cellStyle name="40% - Accent5 2 7 2 2 3" xfId="25243" xr:uid="{C9C5BBBB-7E96-4F46-9E4D-40E109CE9E29}"/>
    <cellStyle name="40% - Accent5 2 7 2 3" xfId="12597" xr:uid="{5FBA1924-C742-422A-9D3A-A15F340D5238}"/>
    <cellStyle name="40% - Accent5 2 7 2 4" xfId="21026" xr:uid="{32D42E51-5A7D-4E84-ACB0-1516AB86E7D4}"/>
    <cellStyle name="40% - Accent5 2 7 3" xfId="6241" xr:uid="{00000000-0005-0000-0000-00008E060000}"/>
    <cellStyle name="40% - Accent5 2 7 3 2" xfId="14670" xr:uid="{E574086F-2BB5-4A8A-93EA-26E5B87DEC18}"/>
    <cellStyle name="40% - Accent5 2 7 3 3" xfId="23098" xr:uid="{C88FB26C-78D3-41C6-996F-B5B5368A89B5}"/>
    <cellStyle name="40% - Accent5 2 7 4" xfId="10452" xr:uid="{5D0187AA-7638-4E6F-A05F-20540C21ED61}"/>
    <cellStyle name="40% - Accent5 2 7 5" xfId="18881" xr:uid="{E92F47C4-D6F0-4A0F-BE29-A49FC181E0E0}"/>
    <cellStyle name="40% - Accent5 2 8" xfId="2346" xr:uid="{00000000-0005-0000-0000-00008F060000}"/>
    <cellStyle name="40% - Accent5 2 8 2" xfId="6654" xr:uid="{00000000-0005-0000-0000-000090060000}"/>
    <cellStyle name="40% - Accent5 2 8 2 2" xfId="15083" xr:uid="{2799E5F9-0531-466E-B433-4E52976022B7}"/>
    <cellStyle name="40% - Accent5 2 8 2 3" xfId="23511" xr:uid="{DB047733-B49C-41DA-B24E-5FE8A7D331DB}"/>
    <cellStyle name="40% - Accent5 2 8 3" xfId="10865" xr:uid="{B860CBF6-8360-4A4F-93F8-FED9D5D7CAFE}"/>
    <cellStyle name="40% - Accent5 2 8 4" xfId="19294" xr:uid="{380BC376-904C-4699-94C0-615745CC3DA7}"/>
    <cellStyle name="40% - Accent5 2 9" xfId="4588" xr:uid="{00000000-0005-0000-0000-000091060000}"/>
    <cellStyle name="40% - Accent5 2 9 2" xfId="13017" xr:uid="{6E51B1D2-3B3D-41D6-8DE9-6673C339D558}"/>
    <cellStyle name="40% - Accent5 2 9 3" xfId="21445" xr:uid="{E364E386-96A9-4434-BBA9-FF668B1F8807}"/>
    <cellStyle name="40% - Accent5 3" xfId="86" xr:uid="{00000000-0005-0000-0000-000092060000}"/>
    <cellStyle name="40% - Accent5 3 10" xfId="17232" xr:uid="{A9EEA0DF-CF37-47FD-81A1-6497068589F8}"/>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81" xr:uid="{FD86F273-DBA6-4BC2-9171-8FC5C3D34666}"/>
    <cellStyle name="40% - Accent5 3 2 2 2 2 3" xfId="24009" xr:uid="{F9CA58C5-E16E-4669-AAD9-E3E36AE184AE}"/>
    <cellStyle name="40% - Accent5 3 2 2 2 3" xfId="11363" xr:uid="{CA894398-EE8B-4E6B-85EE-2CEBC06884BD}"/>
    <cellStyle name="40% - Accent5 3 2 2 2 4" xfId="19792" xr:uid="{BFA3311F-1B02-4D89-9B5C-9001915C5CA1}"/>
    <cellStyle name="40% - Accent5 3 2 2 3" xfId="5007" xr:uid="{00000000-0005-0000-0000-000097060000}"/>
    <cellStyle name="40% - Accent5 3 2 2 3 2" xfId="13436" xr:uid="{5FFF2F77-E25C-42E7-983B-8DDB0FF3469F}"/>
    <cellStyle name="40% - Accent5 3 2 2 3 3" xfId="21864" xr:uid="{2F8F2C0E-2B77-4AE8-8183-DC9D7BA0871D}"/>
    <cellStyle name="40% - Accent5 3 2 2 4" xfId="9218" xr:uid="{4BB295DF-D7A4-4615-A756-40F4DCC8EF48}"/>
    <cellStyle name="40% - Accent5 3 2 2 5" xfId="17647" xr:uid="{65E7EEEB-DA98-489F-9DB9-46777E2D2B71}"/>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94" xr:uid="{65DF252A-764F-42EA-8C4D-1091EBEB9E82}"/>
    <cellStyle name="40% - Accent5 3 2 3 2 2 3" xfId="24422" xr:uid="{754FF2B1-0781-42FC-ACE8-133591F67188}"/>
    <cellStyle name="40% - Accent5 3 2 3 2 3" xfId="11776" xr:uid="{12964C96-D914-4851-9810-B30A92C129B9}"/>
    <cellStyle name="40% - Accent5 3 2 3 2 4" xfId="20205" xr:uid="{7CA88E02-EFEC-4192-9C1D-90D7825529AA}"/>
    <cellStyle name="40% - Accent5 3 2 3 3" xfId="5420" xr:uid="{00000000-0005-0000-0000-00009B060000}"/>
    <cellStyle name="40% - Accent5 3 2 3 3 2" xfId="13849" xr:uid="{69113C30-E9B1-4549-8054-80338C1A8AD2}"/>
    <cellStyle name="40% - Accent5 3 2 3 3 3" xfId="22277" xr:uid="{F3515292-36B0-4CE6-968E-F6E3AC66EEB3}"/>
    <cellStyle name="40% - Accent5 3 2 3 4" xfId="9631" xr:uid="{4B8D2374-D4C0-4688-A617-EADFB867DE5F}"/>
    <cellStyle name="40% - Accent5 3 2 3 5" xfId="18060" xr:uid="{FDB14E22-278C-4C39-AF37-53A7D04C69B4}"/>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7" xr:uid="{A7910FC2-184C-45BB-91DD-DCC9CEB4F841}"/>
    <cellStyle name="40% - Accent5 3 2 4 2 2 3" xfId="24835" xr:uid="{0A42E90E-0E7E-4792-A202-3639B02D3F9F}"/>
    <cellStyle name="40% - Accent5 3 2 4 2 3" xfId="12189" xr:uid="{258583E7-4C92-472A-9EFC-854C90BAE8A4}"/>
    <cellStyle name="40% - Accent5 3 2 4 2 4" xfId="20618" xr:uid="{793ED8DD-2EF3-4865-BDD1-C6D591D72A53}"/>
    <cellStyle name="40% - Accent5 3 2 4 3" xfId="5833" xr:uid="{00000000-0005-0000-0000-00009F060000}"/>
    <cellStyle name="40% - Accent5 3 2 4 3 2" xfId="14262" xr:uid="{9E87D7FA-1D64-45DA-94FA-4254A489FF8A}"/>
    <cellStyle name="40% - Accent5 3 2 4 3 3" xfId="22690" xr:uid="{9C044A7E-82B9-4D01-BAF5-775820345EE9}"/>
    <cellStyle name="40% - Accent5 3 2 4 4" xfId="10044" xr:uid="{F529B6BF-8558-45C5-8DB2-BDB2FE03D9A6}"/>
    <cellStyle name="40% - Accent5 3 2 4 5" xfId="18473" xr:uid="{670AC028-65F6-4F5B-95F4-35E07EE35C27}"/>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20" xr:uid="{49AC3E4D-171E-487E-AF28-101068482638}"/>
    <cellStyle name="40% - Accent5 3 2 5 2 2 3" xfId="25248" xr:uid="{1575FA3A-0D58-496E-B034-1AC3C29F6825}"/>
    <cellStyle name="40% - Accent5 3 2 5 2 3" xfId="12602" xr:uid="{D61B39AD-304C-4538-8379-4E52B33A292D}"/>
    <cellStyle name="40% - Accent5 3 2 5 2 4" xfId="21031" xr:uid="{0D0E15DE-1A80-40D8-A6D9-E892CF810934}"/>
    <cellStyle name="40% - Accent5 3 2 5 3" xfId="6246" xr:uid="{00000000-0005-0000-0000-0000A3060000}"/>
    <cellStyle name="40% - Accent5 3 2 5 3 2" xfId="14675" xr:uid="{0921FAAD-ABE2-4363-B957-771BC497161E}"/>
    <cellStyle name="40% - Accent5 3 2 5 3 3" xfId="23103" xr:uid="{492789DC-49E6-4BBF-9DE8-266084E1C72A}"/>
    <cellStyle name="40% - Accent5 3 2 5 4" xfId="10457" xr:uid="{8039FD9D-E959-4D7D-BFFF-0AE2C63EFE17}"/>
    <cellStyle name="40% - Accent5 3 2 5 5" xfId="18886" xr:uid="{10FF70D3-09E7-4E0A-8A9E-9B3398FC544E}"/>
    <cellStyle name="40% - Accent5 3 2 6" xfId="2351" xr:uid="{00000000-0005-0000-0000-0000A4060000}"/>
    <cellStyle name="40% - Accent5 3 2 6 2" xfId="6659" xr:uid="{00000000-0005-0000-0000-0000A5060000}"/>
    <cellStyle name="40% - Accent5 3 2 6 2 2" xfId="15088" xr:uid="{AAD808E4-D562-4BFE-A4AE-D936E1301738}"/>
    <cellStyle name="40% - Accent5 3 2 6 2 3" xfId="23516" xr:uid="{75EBCE05-9626-4AFC-AA97-1C53785C9136}"/>
    <cellStyle name="40% - Accent5 3 2 6 3" xfId="10870" xr:uid="{B5D72745-611B-4D0E-A110-2CFAD2C70EAE}"/>
    <cellStyle name="40% - Accent5 3 2 6 4" xfId="19299" xr:uid="{C28D0EE8-21C2-49F4-9B77-A12C1AD55048}"/>
    <cellStyle name="40% - Accent5 3 2 7" xfId="4593" xr:uid="{00000000-0005-0000-0000-0000A6060000}"/>
    <cellStyle name="40% - Accent5 3 2 7 2" xfId="13022" xr:uid="{9057482A-6BBD-4B3B-8623-FE1922A03BBA}"/>
    <cellStyle name="40% - Accent5 3 2 7 3" xfId="21450" xr:uid="{A3C66BFF-0185-4E89-A135-211DE87BA79B}"/>
    <cellStyle name="40% - Accent5 3 2 8" xfId="8804" xr:uid="{350C5956-E89B-45FE-ABB5-E10C75B668FF}"/>
    <cellStyle name="40% - Accent5 3 2 9" xfId="17233" xr:uid="{DFC1C524-EC25-4E10-86A6-2345B29198BD}"/>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80" xr:uid="{3A20F187-4129-444F-B318-B5D9661CE812}"/>
    <cellStyle name="40% - Accent5 3 3 2 2 3" xfId="24008" xr:uid="{BEFFAC8A-C9AF-4703-9E14-3F8F33859602}"/>
    <cellStyle name="40% - Accent5 3 3 2 3" xfId="11362" xr:uid="{656FA4E6-B0B3-4514-966D-1ACD1A7DAADF}"/>
    <cellStyle name="40% - Accent5 3 3 2 4" xfId="19791" xr:uid="{CC85AED3-A4EE-40D9-9CD3-48BA5EFCE3A6}"/>
    <cellStyle name="40% - Accent5 3 3 3" xfId="5006" xr:uid="{00000000-0005-0000-0000-0000AA060000}"/>
    <cellStyle name="40% - Accent5 3 3 3 2" xfId="13435" xr:uid="{EAB0A50D-F6DB-43AB-BDC5-C7EB3A3C573B}"/>
    <cellStyle name="40% - Accent5 3 3 3 3" xfId="21863" xr:uid="{682EB83E-0FF5-45E4-A230-3BCDDE0FB541}"/>
    <cellStyle name="40% - Accent5 3 3 4" xfId="9217" xr:uid="{4CB4FF05-0EA7-4480-A317-61E7738AD9F6}"/>
    <cellStyle name="40% - Accent5 3 3 5" xfId="17646" xr:uid="{E9136EF9-68A6-4DAD-BC42-F94112C014BC}"/>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93" xr:uid="{701D7EC8-3583-42D0-AE6F-49703C40E832}"/>
    <cellStyle name="40% - Accent5 3 4 2 2 3" xfId="24421" xr:uid="{51427E5A-9253-4A84-8A94-68C38A3FD45D}"/>
    <cellStyle name="40% - Accent5 3 4 2 3" xfId="11775" xr:uid="{82D8442A-18F6-43C7-8479-8A3097985D7F}"/>
    <cellStyle name="40% - Accent5 3 4 2 4" xfId="20204" xr:uid="{35EF1967-E4BA-4148-992D-EB928349A016}"/>
    <cellStyle name="40% - Accent5 3 4 3" xfId="5419" xr:uid="{00000000-0005-0000-0000-0000AE060000}"/>
    <cellStyle name="40% - Accent5 3 4 3 2" xfId="13848" xr:uid="{2A51A6B8-7E13-464C-9C15-073C613369A9}"/>
    <cellStyle name="40% - Accent5 3 4 3 3" xfId="22276" xr:uid="{2782432B-141E-4965-A73A-52343BA4433F}"/>
    <cellStyle name="40% - Accent5 3 4 4" xfId="9630" xr:uid="{B68AC954-1859-455D-A40D-D3F5404E2385}"/>
    <cellStyle name="40% - Accent5 3 4 5" xfId="18059" xr:uid="{0CBD1415-46F8-426C-B600-22E71E4B348F}"/>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406" xr:uid="{49BC32C9-5945-49C2-8EFF-15F77913BBB5}"/>
    <cellStyle name="40% - Accent5 3 5 2 2 3" xfId="24834" xr:uid="{53D99A06-F878-46D7-B126-6523D5B1B1EB}"/>
    <cellStyle name="40% - Accent5 3 5 2 3" xfId="12188" xr:uid="{CF92499B-E464-4D71-976F-4C14FF192940}"/>
    <cellStyle name="40% - Accent5 3 5 2 4" xfId="20617" xr:uid="{43368504-CCFF-40A6-890F-3A5B61DD6705}"/>
    <cellStyle name="40% - Accent5 3 5 3" xfId="5832" xr:uid="{00000000-0005-0000-0000-0000B2060000}"/>
    <cellStyle name="40% - Accent5 3 5 3 2" xfId="14261" xr:uid="{298CA6CA-E071-48AA-817A-2FB0E814F183}"/>
    <cellStyle name="40% - Accent5 3 5 3 3" xfId="22689" xr:uid="{1199A19E-4B41-42EC-A26C-FC3CDFFAD96E}"/>
    <cellStyle name="40% - Accent5 3 5 4" xfId="10043" xr:uid="{2B6976A9-25C9-4804-A9C8-54765046200D}"/>
    <cellStyle name="40% - Accent5 3 5 5" xfId="18472" xr:uid="{DC012A0C-FFC1-49F7-9403-04EE179B93E3}"/>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9" xr:uid="{2C84A2F5-F418-4B47-8BF5-A368E59FBEE5}"/>
    <cellStyle name="40% - Accent5 3 6 2 2 3" xfId="25247" xr:uid="{2EA3E12B-744E-443B-953C-0B923EE45A54}"/>
    <cellStyle name="40% - Accent5 3 6 2 3" xfId="12601" xr:uid="{207161A7-817C-4088-96F7-DEC4C6A0245E}"/>
    <cellStyle name="40% - Accent5 3 6 2 4" xfId="21030" xr:uid="{C794400E-1D26-4D61-AB29-CCC04EA1D9DD}"/>
    <cellStyle name="40% - Accent5 3 6 3" xfId="6245" xr:uid="{00000000-0005-0000-0000-0000B6060000}"/>
    <cellStyle name="40% - Accent5 3 6 3 2" xfId="14674" xr:uid="{7B37CD1C-B7CD-4AFE-AD47-62508837D1AD}"/>
    <cellStyle name="40% - Accent5 3 6 3 3" xfId="23102" xr:uid="{4F0B2E86-0400-4F0B-9215-A3A01CFF8FA9}"/>
    <cellStyle name="40% - Accent5 3 6 4" xfId="10456" xr:uid="{7BD5E4BB-8E74-4D36-B365-6CD9EA1D46C1}"/>
    <cellStyle name="40% - Accent5 3 6 5" xfId="18885" xr:uid="{6CAD35D1-AB66-49C7-BB6B-BE30E0530C5D}"/>
    <cellStyle name="40% - Accent5 3 7" xfId="2350" xr:uid="{00000000-0005-0000-0000-0000B7060000}"/>
    <cellStyle name="40% - Accent5 3 7 2" xfId="6658" xr:uid="{00000000-0005-0000-0000-0000B8060000}"/>
    <cellStyle name="40% - Accent5 3 7 2 2" xfId="15087" xr:uid="{5B350546-BA99-48A8-8B7E-99B8D7655313}"/>
    <cellStyle name="40% - Accent5 3 7 2 3" xfId="23515" xr:uid="{8BE3C727-B49C-4627-B0A6-280FE7DF0E5E}"/>
    <cellStyle name="40% - Accent5 3 7 3" xfId="10869" xr:uid="{FD0AC9C0-CAE4-4B6B-8A3F-8F8D464B1E6C}"/>
    <cellStyle name="40% - Accent5 3 7 4" xfId="19298" xr:uid="{62247C66-2076-4C43-A463-D983EADADC86}"/>
    <cellStyle name="40% - Accent5 3 8" xfId="4592" xr:uid="{00000000-0005-0000-0000-0000B9060000}"/>
    <cellStyle name="40% - Accent5 3 8 2" xfId="13021" xr:uid="{0B4B5C8C-405E-466B-93CC-F53EFCDFFB17}"/>
    <cellStyle name="40% - Accent5 3 8 3" xfId="21449" xr:uid="{BFA634CA-26A3-4D47-9420-B1BE6AF4948D}"/>
    <cellStyle name="40% - Accent5 3 9" xfId="8803" xr:uid="{C2876FB0-F651-48E9-B94D-4124DADA44C8}"/>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82" xr:uid="{9DEDB717-04A0-4846-A02F-85B683FCEC3F}"/>
    <cellStyle name="40% - Accent5 4 2 2 2 3" xfId="24010" xr:uid="{4C340CCE-EEB8-47AD-8B5C-AEE58D11AC7F}"/>
    <cellStyle name="40% - Accent5 4 2 2 3" xfId="11364" xr:uid="{0168788B-01E5-422B-A51E-B05EABD098C7}"/>
    <cellStyle name="40% - Accent5 4 2 2 4" xfId="19793" xr:uid="{37D12BBE-D068-4D99-B825-60DCC94ACC75}"/>
    <cellStyle name="40% - Accent5 4 2 3" xfId="5008" xr:uid="{00000000-0005-0000-0000-0000BE060000}"/>
    <cellStyle name="40% - Accent5 4 2 3 2" xfId="13437" xr:uid="{A5A297FC-2C4C-4525-AF58-38620E691FCB}"/>
    <cellStyle name="40% - Accent5 4 2 3 3" xfId="21865" xr:uid="{A1CD7C05-B188-42BB-AD28-E6DC34522361}"/>
    <cellStyle name="40% - Accent5 4 2 4" xfId="9219" xr:uid="{FB6DB60A-3BCF-45A5-8C4B-B7E2A78F6B6F}"/>
    <cellStyle name="40% - Accent5 4 2 5" xfId="17648" xr:uid="{5FEFF399-6D96-4E54-87BC-2D0AF26F6E9C}"/>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95" xr:uid="{DDEEE25B-10DE-4083-96FD-C6CECEAFE3F7}"/>
    <cellStyle name="40% - Accent5 4 3 2 2 3" xfId="24423" xr:uid="{B7E2A896-0886-4B83-82A5-8AD9EF48AEE4}"/>
    <cellStyle name="40% - Accent5 4 3 2 3" xfId="11777" xr:uid="{850E8CF5-CF53-4DCB-BE68-D5D864C9A3B7}"/>
    <cellStyle name="40% - Accent5 4 3 2 4" xfId="20206" xr:uid="{30581086-A465-4668-A23C-7034E02AD52C}"/>
    <cellStyle name="40% - Accent5 4 3 3" xfId="5421" xr:uid="{00000000-0005-0000-0000-0000C2060000}"/>
    <cellStyle name="40% - Accent5 4 3 3 2" xfId="13850" xr:uid="{AB8D5506-C338-4BF5-874F-6AF7C9988895}"/>
    <cellStyle name="40% - Accent5 4 3 3 3" xfId="22278" xr:uid="{7EF607F6-3C38-48A8-B980-3BCA38F6A41D}"/>
    <cellStyle name="40% - Accent5 4 3 4" xfId="9632" xr:uid="{206F549C-6A56-4223-BFDD-117057F1D975}"/>
    <cellStyle name="40% - Accent5 4 3 5" xfId="18061" xr:uid="{0E36E42B-F166-4BEA-A927-64E8FC3B2408}"/>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8" xr:uid="{8C2C7108-AE93-43CC-808F-C8355C89F16D}"/>
    <cellStyle name="40% - Accent5 4 4 2 2 3" xfId="24836" xr:uid="{209FC29E-EF1E-40A3-BF74-D2DFB3B1BEA8}"/>
    <cellStyle name="40% - Accent5 4 4 2 3" xfId="12190" xr:uid="{0EECF36E-F34B-49BA-B035-263B4EE24B45}"/>
    <cellStyle name="40% - Accent5 4 4 2 4" xfId="20619" xr:uid="{2CD00B67-A649-45FF-809D-3379ADAD6A69}"/>
    <cellStyle name="40% - Accent5 4 4 3" xfId="5834" xr:uid="{00000000-0005-0000-0000-0000C6060000}"/>
    <cellStyle name="40% - Accent5 4 4 3 2" xfId="14263" xr:uid="{112A7A75-62FA-4F30-9416-5DEE63CEA726}"/>
    <cellStyle name="40% - Accent5 4 4 3 3" xfId="22691" xr:uid="{607580B1-1D5C-4540-95FD-759C7DF32316}"/>
    <cellStyle name="40% - Accent5 4 4 4" xfId="10045" xr:uid="{1B766DA4-FC01-41E6-96EE-7E6CC2667C54}"/>
    <cellStyle name="40% - Accent5 4 4 5" xfId="18474" xr:uid="{48A7C2D4-418B-480B-90C4-73142296D244}"/>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21" xr:uid="{5D00B5DE-7238-4645-86E6-F5B5401C68CD}"/>
    <cellStyle name="40% - Accent5 4 5 2 2 3" xfId="25249" xr:uid="{C3B18AE8-E4E2-4931-85BB-C5829EE89EA6}"/>
    <cellStyle name="40% - Accent5 4 5 2 3" xfId="12603" xr:uid="{5971D5F9-7790-4FFD-AFB5-451E9327EC26}"/>
    <cellStyle name="40% - Accent5 4 5 2 4" xfId="21032" xr:uid="{8C227797-A577-4F6A-B1CF-8132E4696AD6}"/>
    <cellStyle name="40% - Accent5 4 5 3" xfId="6247" xr:uid="{00000000-0005-0000-0000-0000CA060000}"/>
    <cellStyle name="40% - Accent5 4 5 3 2" xfId="14676" xr:uid="{2693A24F-361C-40D2-8E5C-E051866E1574}"/>
    <cellStyle name="40% - Accent5 4 5 3 3" xfId="23104" xr:uid="{81C741E4-93E9-4614-9C49-6A69D02A1CCA}"/>
    <cellStyle name="40% - Accent5 4 5 4" xfId="10458" xr:uid="{6C981816-1D22-491C-B649-AB407CA7D5ED}"/>
    <cellStyle name="40% - Accent5 4 5 5" xfId="18887" xr:uid="{4A789D94-F546-43F6-887D-E273883A49E0}"/>
    <cellStyle name="40% - Accent5 4 6" xfId="2352" xr:uid="{00000000-0005-0000-0000-0000CB060000}"/>
    <cellStyle name="40% - Accent5 4 6 2" xfId="6660" xr:uid="{00000000-0005-0000-0000-0000CC060000}"/>
    <cellStyle name="40% - Accent5 4 6 2 2" xfId="15089" xr:uid="{8F1AE1C8-EE52-49AD-9FF7-0461771E29C3}"/>
    <cellStyle name="40% - Accent5 4 6 2 3" xfId="23517" xr:uid="{8F395434-09F6-4786-B6DD-81E48C46E8DA}"/>
    <cellStyle name="40% - Accent5 4 6 3" xfId="10871" xr:uid="{535C1185-15A3-4794-8C27-B5A7D7EF5766}"/>
    <cellStyle name="40% - Accent5 4 6 4" xfId="19300" xr:uid="{D639D1CC-79E7-493D-A98E-D762658EA8C5}"/>
    <cellStyle name="40% - Accent5 4 7" xfId="4594" xr:uid="{00000000-0005-0000-0000-0000CD060000}"/>
    <cellStyle name="40% - Accent5 4 7 2" xfId="13023" xr:uid="{58E68393-F475-43B7-8FF6-E693D04789E5}"/>
    <cellStyle name="40% - Accent5 4 7 3" xfId="21451" xr:uid="{9E9C4AC0-2569-4777-B575-934E565CF50F}"/>
    <cellStyle name="40% - Accent5 4 8" xfId="8805" xr:uid="{1E4E2F9F-6D73-46A4-9926-5F6F5D984D0F}"/>
    <cellStyle name="40% - Accent5 4 9" xfId="17234" xr:uid="{66BCE11D-D710-4ABF-AA0A-2E1A5A2ACB52}"/>
    <cellStyle name="40% - Accent5 5" xfId="651" xr:uid="{00000000-0005-0000-0000-0000CE060000}"/>
    <cellStyle name="40% - Accent5 5 2" xfId="2922" xr:uid="{00000000-0005-0000-0000-0000CF060000}"/>
    <cellStyle name="40% - Accent5 5 2 2" xfId="7146" xr:uid="{00000000-0005-0000-0000-0000D0060000}"/>
    <cellStyle name="40% - Accent5 5 2 2 2" xfId="15575" xr:uid="{80E89DAE-18F9-4E5E-BDBA-0E346B79F964}"/>
    <cellStyle name="40% - Accent5 5 2 2 3" xfId="24003" xr:uid="{20B610E9-EA8A-496C-89DE-942495308187}"/>
    <cellStyle name="40% - Accent5 5 2 3" xfId="11357" xr:uid="{8602D6E0-3386-44C6-B19D-8573D607AC27}"/>
    <cellStyle name="40% - Accent5 5 2 4" xfId="19786" xr:uid="{BD3D6832-837F-4C2B-8DC1-8C62E4814C1A}"/>
    <cellStyle name="40% - Accent5 5 3" xfId="5001" xr:uid="{00000000-0005-0000-0000-0000D1060000}"/>
    <cellStyle name="40% - Accent5 5 3 2" xfId="13430" xr:uid="{0F3B6DD3-76F8-43F4-956B-202059B9044C}"/>
    <cellStyle name="40% - Accent5 5 3 3" xfId="21858" xr:uid="{D50AD6D1-837B-4664-8FC3-9D477BCC3C2B}"/>
    <cellStyle name="40% - Accent5 5 4" xfId="9212" xr:uid="{6B845EE3-440A-4A8E-BB4D-CFB50202B97E}"/>
    <cellStyle name="40% - Accent5 5 5" xfId="17641" xr:uid="{38B70703-7121-41D5-88A3-62ECAD4A27CA}"/>
    <cellStyle name="40% - Accent5 6" xfId="1104" xr:uid="{00000000-0005-0000-0000-0000D2060000}"/>
    <cellStyle name="40% - Accent5 6 2" xfId="3335" xr:uid="{00000000-0005-0000-0000-0000D3060000}"/>
    <cellStyle name="40% - Accent5 6 2 2" xfId="7559" xr:uid="{00000000-0005-0000-0000-0000D4060000}"/>
    <cellStyle name="40% - Accent5 6 2 2 2" xfId="15988" xr:uid="{81DF1D5D-7CBE-4C99-A259-6F287CBB8D85}"/>
    <cellStyle name="40% - Accent5 6 2 2 3" xfId="24416" xr:uid="{F9A86F93-F321-4170-B580-C3A17E4D03B1}"/>
    <cellStyle name="40% - Accent5 6 2 3" xfId="11770" xr:uid="{F8A767CA-A51B-42D4-A3E3-B8957C513AF3}"/>
    <cellStyle name="40% - Accent5 6 2 4" xfId="20199" xr:uid="{2FEAB4A3-09D2-4056-A88F-B5A38DFABB35}"/>
    <cellStyle name="40% - Accent5 6 3" xfId="5414" xr:uid="{00000000-0005-0000-0000-0000D5060000}"/>
    <cellStyle name="40% - Accent5 6 3 2" xfId="13843" xr:uid="{F8C597AB-DFA6-4E1D-ACE6-6D591A544364}"/>
    <cellStyle name="40% - Accent5 6 3 3" xfId="22271" xr:uid="{5A32B1A4-F93B-4BC9-8E25-303DB5370B01}"/>
    <cellStyle name="40% - Accent5 6 4" xfId="9625" xr:uid="{8CE5E591-E763-4151-9642-3798AEFDE397}"/>
    <cellStyle name="40% - Accent5 6 5" xfId="18054" xr:uid="{4BA39D2F-DF7E-42D4-A1E4-1E7235F7816D}"/>
    <cellStyle name="40% - Accent5 7" xfId="1518" xr:uid="{00000000-0005-0000-0000-0000D6060000}"/>
    <cellStyle name="40% - Accent5 7 2" xfId="3748" xr:uid="{00000000-0005-0000-0000-0000D7060000}"/>
    <cellStyle name="40% - Accent5 7 2 2" xfId="7972" xr:uid="{00000000-0005-0000-0000-0000D8060000}"/>
    <cellStyle name="40% - Accent5 7 2 2 2" xfId="16401" xr:uid="{B2ABA04D-14C1-42C2-9722-4D3213D99514}"/>
    <cellStyle name="40% - Accent5 7 2 2 3" xfId="24829" xr:uid="{4DD8B6E0-EE61-42C9-A381-8BA1EDB6F531}"/>
    <cellStyle name="40% - Accent5 7 2 3" xfId="12183" xr:uid="{EE775114-61A9-4D2F-88D2-F76B19213C83}"/>
    <cellStyle name="40% - Accent5 7 2 4" xfId="20612" xr:uid="{D95CAFC8-5D2C-4103-9CBE-9AB68319750C}"/>
    <cellStyle name="40% - Accent5 7 3" xfId="5827" xr:uid="{00000000-0005-0000-0000-0000D9060000}"/>
    <cellStyle name="40% - Accent5 7 3 2" xfId="14256" xr:uid="{43E8BB8D-C760-4299-854A-AF459105C64E}"/>
    <cellStyle name="40% - Accent5 7 3 3" xfId="22684" xr:uid="{5A525BAE-A555-4F7A-A8CB-FCDCFB904ED3}"/>
    <cellStyle name="40% - Accent5 7 4" xfId="10038" xr:uid="{0D433CEB-1FD3-4F2D-988A-56514501BB21}"/>
    <cellStyle name="40% - Accent5 7 5" xfId="18467" xr:uid="{DF197AF8-96AB-4647-B2A0-19E7FA908FF4}"/>
    <cellStyle name="40% - Accent5 8" xfId="1932" xr:uid="{00000000-0005-0000-0000-0000DA060000}"/>
    <cellStyle name="40% - Accent5 8 2" xfId="4161" xr:uid="{00000000-0005-0000-0000-0000DB060000}"/>
    <cellStyle name="40% - Accent5 8 2 2" xfId="8385" xr:uid="{00000000-0005-0000-0000-0000DC060000}"/>
    <cellStyle name="40% - Accent5 8 2 2 2" xfId="16814" xr:uid="{8483AC62-1CEF-4A91-BFD7-6CF425EFD8D3}"/>
    <cellStyle name="40% - Accent5 8 2 2 3" xfId="25242" xr:uid="{A02D4255-D125-4433-B788-FEE999A76EC4}"/>
    <cellStyle name="40% - Accent5 8 2 3" xfId="12596" xr:uid="{E6C0801C-B6F9-46DE-A289-0A4C71A2F908}"/>
    <cellStyle name="40% - Accent5 8 2 4" xfId="21025" xr:uid="{84EC47CF-FF0A-4DC2-8949-F1FB434F9E69}"/>
    <cellStyle name="40% - Accent5 8 3" xfId="6240" xr:uid="{00000000-0005-0000-0000-0000DD060000}"/>
    <cellStyle name="40% - Accent5 8 3 2" xfId="14669" xr:uid="{9008B60F-7997-498C-9607-E481B0E6A6C2}"/>
    <cellStyle name="40% - Accent5 8 3 3" xfId="23097" xr:uid="{3688694D-9558-46EE-8EF5-5F0B77BAA301}"/>
    <cellStyle name="40% - Accent5 8 4" xfId="10451" xr:uid="{6FC7C467-687D-4AF6-9C59-6DB4535F4412}"/>
    <cellStyle name="40% - Accent5 8 5" xfId="18880" xr:uid="{C3D481C8-D027-4118-A3B9-82C731D59947}"/>
    <cellStyle name="40% - Accent5 9" xfId="2345" xr:uid="{00000000-0005-0000-0000-0000DE060000}"/>
    <cellStyle name="40% - Accent5 9 2" xfId="6653" xr:uid="{00000000-0005-0000-0000-0000DF060000}"/>
    <cellStyle name="40% - Accent5 9 2 2" xfId="15082" xr:uid="{3C41FE58-AADE-4903-880E-5552EA812C24}"/>
    <cellStyle name="40% - Accent5 9 2 3" xfId="23510" xr:uid="{5B35C167-93F8-400A-ABBD-B1B27ABD28C7}"/>
    <cellStyle name="40% - Accent5 9 3" xfId="10864" xr:uid="{FAB4CE60-8C67-4808-BC09-D0CA4BBA63F4}"/>
    <cellStyle name="40% - Accent5 9 4" xfId="19293" xr:uid="{F7B95116-36B9-4F10-B8FF-59BBD446A574}"/>
    <cellStyle name="40% - Accent6" xfId="89" builtinId="51" customBuiltin="1"/>
    <cellStyle name="40% - Accent6 10" xfId="4595" xr:uid="{00000000-0005-0000-0000-0000E1060000}"/>
    <cellStyle name="40% - Accent6 10 2" xfId="13024" xr:uid="{D379C887-1CB4-4AFB-9F29-DC4683076E9C}"/>
    <cellStyle name="40% - Accent6 10 3" xfId="21452" xr:uid="{4E8AEEBF-25DC-43CD-945C-AB08CFEE8FC6}"/>
    <cellStyle name="40% - Accent6 11" xfId="8806" xr:uid="{44AC979B-F7CE-4477-BBF2-72433422950C}"/>
    <cellStyle name="40% - Accent6 12" xfId="17235" xr:uid="{335FF646-6D58-4041-ACA7-277184FE3C3F}"/>
    <cellStyle name="40% - Accent6 2" xfId="90" xr:uid="{00000000-0005-0000-0000-0000E2060000}"/>
    <cellStyle name="40% - Accent6 2 10" xfId="8807" xr:uid="{AE8ADCA3-B1C5-4610-A479-9908AC305267}"/>
    <cellStyle name="40% - Accent6 2 11" xfId="17236" xr:uid="{CC405C07-9024-4178-98BE-B0325EA1E835}"/>
    <cellStyle name="40% - Accent6 2 2" xfId="91" xr:uid="{00000000-0005-0000-0000-0000E3060000}"/>
    <cellStyle name="40% - Accent6 2 2 10" xfId="17237" xr:uid="{9AEB80AC-D722-47FE-B52B-C4F0F24C5F85}"/>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86" xr:uid="{8047C049-7F23-4E6A-8DD6-C3E0A6F0FBA2}"/>
    <cellStyle name="40% - Accent6 2 2 2 2 2 2 3" xfId="24014" xr:uid="{280E3C85-056E-450A-93B3-41807449D5B3}"/>
    <cellStyle name="40% - Accent6 2 2 2 2 2 3" xfId="11368" xr:uid="{2E5D872D-FB2B-4FBD-96A5-DC087FDE4AE6}"/>
    <cellStyle name="40% - Accent6 2 2 2 2 2 4" xfId="19797" xr:uid="{2F5DD6E9-F823-4B10-98D8-D9EB416E6507}"/>
    <cellStyle name="40% - Accent6 2 2 2 2 3" xfId="5012" xr:uid="{00000000-0005-0000-0000-0000E8060000}"/>
    <cellStyle name="40% - Accent6 2 2 2 2 3 2" xfId="13441" xr:uid="{28561A57-1150-4BE9-BD1B-31C4F62D3FC3}"/>
    <cellStyle name="40% - Accent6 2 2 2 2 3 3" xfId="21869" xr:uid="{5AB01966-C100-426B-BB74-544FFD98C3CB}"/>
    <cellStyle name="40% - Accent6 2 2 2 2 4" xfId="9223" xr:uid="{19209AAB-4218-43C1-9E98-4D3B8EFFDC6F}"/>
    <cellStyle name="40% - Accent6 2 2 2 2 5" xfId="17652" xr:uid="{F7D72B0C-E8E8-4E1E-85EF-4E09BCFE5231}"/>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9" xr:uid="{7884E54A-AF44-441B-A00B-E1DE39CAD878}"/>
    <cellStyle name="40% - Accent6 2 2 2 3 2 2 3" xfId="24427" xr:uid="{E3CB9430-8429-41CF-8D7C-C13758900199}"/>
    <cellStyle name="40% - Accent6 2 2 2 3 2 3" xfId="11781" xr:uid="{A396BEA9-F01C-4076-97DA-D4DA4ABDA9A6}"/>
    <cellStyle name="40% - Accent6 2 2 2 3 2 4" xfId="20210" xr:uid="{21B76C92-37E8-4D7D-85DD-64C4FB94788F}"/>
    <cellStyle name="40% - Accent6 2 2 2 3 3" xfId="5425" xr:uid="{00000000-0005-0000-0000-0000EC060000}"/>
    <cellStyle name="40% - Accent6 2 2 2 3 3 2" xfId="13854" xr:uid="{DF49B71B-31B0-435F-83F3-FDBE474A0FCA}"/>
    <cellStyle name="40% - Accent6 2 2 2 3 3 3" xfId="22282" xr:uid="{C2F41DAF-2D38-4766-B126-BE9202B6CF50}"/>
    <cellStyle name="40% - Accent6 2 2 2 3 4" xfId="9636" xr:uid="{266807E4-C0A1-488B-9273-E940ADE49BA7}"/>
    <cellStyle name="40% - Accent6 2 2 2 3 5" xfId="18065" xr:uid="{6A87F8B8-568D-4564-9991-4EBB9910ED7C}"/>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12" xr:uid="{65A639A2-653C-40DE-B33A-8DB28AA97EFD}"/>
    <cellStyle name="40% - Accent6 2 2 2 4 2 2 3" xfId="24840" xr:uid="{0DBE1D27-4B54-410F-B6C9-1F670F1919AC}"/>
    <cellStyle name="40% - Accent6 2 2 2 4 2 3" xfId="12194" xr:uid="{E2463D64-4228-4A6F-9F00-2C6F5EE06C33}"/>
    <cellStyle name="40% - Accent6 2 2 2 4 2 4" xfId="20623" xr:uid="{46F6E0B5-F196-4CEF-9F26-057A34F6BBBB}"/>
    <cellStyle name="40% - Accent6 2 2 2 4 3" xfId="5838" xr:uid="{00000000-0005-0000-0000-0000F0060000}"/>
    <cellStyle name="40% - Accent6 2 2 2 4 3 2" xfId="14267" xr:uid="{1D29A477-9E3E-4F17-8018-AF45CD0D7B74}"/>
    <cellStyle name="40% - Accent6 2 2 2 4 3 3" xfId="22695" xr:uid="{B874DA01-8857-48F2-AFF3-63E48D8D08E9}"/>
    <cellStyle name="40% - Accent6 2 2 2 4 4" xfId="10049" xr:uid="{1B7A30DF-CD74-49FE-870D-817B836219AA}"/>
    <cellStyle name="40% - Accent6 2 2 2 4 5" xfId="18478" xr:uid="{CDFBE3FA-1F23-4A4D-98AB-52CC8F2DCB89}"/>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25" xr:uid="{7CC703EE-3ADD-431F-81B8-19FE923A9C2E}"/>
    <cellStyle name="40% - Accent6 2 2 2 5 2 2 3" xfId="25253" xr:uid="{AC14E271-A474-4BAF-9C47-D73F386F2286}"/>
    <cellStyle name="40% - Accent6 2 2 2 5 2 3" xfId="12607" xr:uid="{6B1F642A-6B0A-4472-A9C2-1590AE4B2757}"/>
    <cellStyle name="40% - Accent6 2 2 2 5 2 4" xfId="21036" xr:uid="{7A5E8479-D8D0-48AC-8284-6C0FD9A662A5}"/>
    <cellStyle name="40% - Accent6 2 2 2 5 3" xfId="6251" xr:uid="{00000000-0005-0000-0000-0000F4060000}"/>
    <cellStyle name="40% - Accent6 2 2 2 5 3 2" xfId="14680" xr:uid="{FB39CA77-4A0A-4DED-A613-62B1867AE51A}"/>
    <cellStyle name="40% - Accent6 2 2 2 5 3 3" xfId="23108" xr:uid="{271BC342-C9DD-4E9A-97FA-C1547D00481B}"/>
    <cellStyle name="40% - Accent6 2 2 2 5 4" xfId="10462" xr:uid="{7C4B0339-88B3-493B-9D13-D925937B27A1}"/>
    <cellStyle name="40% - Accent6 2 2 2 5 5" xfId="18891" xr:uid="{7FFDD9C2-37DB-4170-A2D1-933F6077BA43}"/>
    <cellStyle name="40% - Accent6 2 2 2 6" xfId="2356" xr:uid="{00000000-0005-0000-0000-0000F5060000}"/>
    <cellStyle name="40% - Accent6 2 2 2 6 2" xfId="6664" xr:uid="{00000000-0005-0000-0000-0000F6060000}"/>
    <cellStyle name="40% - Accent6 2 2 2 6 2 2" xfId="15093" xr:uid="{D823960E-190B-49E0-A974-66176EAE2A92}"/>
    <cellStyle name="40% - Accent6 2 2 2 6 2 3" xfId="23521" xr:uid="{EAB70C4D-381B-4E75-84C6-FBC1683E041E}"/>
    <cellStyle name="40% - Accent6 2 2 2 6 3" xfId="10875" xr:uid="{DD9F4E79-44FA-4F84-86B0-A98B153FCF03}"/>
    <cellStyle name="40% - Accent6 2 2 2 6 4" xfId="19304" xr:uid="{D2F7344B-7C64-48DD-AA6B-306E155656A1}"/>
    <cellStyle name="40% - Accent6 2 2 2 7" xfId="4598" xr:uid="{00000000-0005-0000-0000-0000F7060000}"/>
    <cellStyle name="40% - Accent6 2 2 2 7 2" xfId="13027" xr:uid="{BC930563-8D66-476F-9AAB-49E46090A8A0}"/>
    <cellStyle name="40% - Accent6 2 2 2 7 3" xfId="21455" xr:uid="{E4CCA6BA-9C6D-452C-B656-6F8E64E822C1}"/>
    <cellStyle name="40% - Accent6 2 2 2 8" xfId="8809" xr:uid="{DA452EFE-7739-4A92-838F-E603EB32C5D4}"/>
    <cellStyle name="40% - Accent6 2 2 2 9" xfId="17238" xr:uid="{1267A76E-DABD-4FF9-B88B-F1DCFDA2C8E8}"/>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85" xr:uid="{AC9348CA-DD0B-4756-8820-D048C2E79916}"/>
    <cellStyle name="40% - Accent6 2 2 3 2 2 3" xfId="24013" xr:uid="{B6F83BD4-1CE4-4DC1-A107-4916539FE2AF}"/>
    <cellStyle name="40% - Accent6 2 2 3 2 3" xfId="11367" xr:uid="{D0ED2782-B79F-45B6-A92F-876CB18F52AC}"/>
    <cellStyle name="40% - Accent6 2 2 3 2 4" xfId="19796" xr:uid="{76500E7A-A8B0-45E9-AAA5-07D55E1570F0}"/>
    <cellStyle name="40% - Accent6 2 2 3 3" xfId="5011" xr:uid="{00000000-0005-0000-0000-0000FB060000}"/>
    <cellStyle name="40% - Accent6 2 2 3 3 2" xfId="13440" xr:uid="{CF416E05-BCC2-4BB5-A331-B3DD9075164D}"/>
    <cellStyle name="40% - Accent6 2 2 3 3 3" xfId="21868" xr:uid="{E172EF80-62E1-415A-B22C-BEC1E8A52944}"/>
    <cellStyle name="40% - Accent6 2 2 3 4" xfId="9222" xr:uid="{8D1E6DC9-1806-414F-BA3D-01AA20C88AFE}"/>
    <cellStyle name="40% - Accent6 2 2 3 5" xfId="17651" xr:uid="{E4924381-E96D-4F68-AC6E-7B7E5647E50E}"/>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8" xr:uid="{84BB76D3-8964-4CD6-813B-7B41402ED5E0}"/>
    <cellStyle name="40% - Accent6 2 2 4 2 2 3" xfId="24426" xr:uid="{507AE012-C2EF-4F2D-A9A4-DDE12E6F8A11}"/>
    <cellStyle name="40% - Accent6 2 2 4 2 3" xfId="11780" xr:uid="{A3174F5F-14D3-4D29-878C-BED29A67E4DC}"/>
    <cellStyle name="40% - Accent6 2 2 4 2 4" xfId="20209" xr:uid="{91798714-DE81-4984-98F9-CA34A13674F6}"/>
    <cellStyle name="40% - Accent6 2 2 4 3" xfId="5424" xr:uid="{00000000-0005-0000-0000-0000FF060000}"/>
    <cellStyle name="40% - Accent6 2 2 4 3 2" xfId="13853" xr:uid="{B57BB841-63C4-49D7-B1B9-0BA92466546F}"/>
    <cellStyle name="40% - Accent6 2 2 4 3 3" xfId="22281" xr:uid="{9D83F7F6-59CE-4EEE-8CC5-F5399F93232E}"/>
    <cellStyle name="40% - Accent6 2 2 4 4" xfId="9635" xr:uid="{A32E63B7-976F-4A56-A2D0-48B17BE5CC16}"/>
    <cellStyle name="40% - Accent6 2 2 4 5" xfId="18064" xr:uid="{CAF335FF-AB46-4EFD-AAEB-8EB99DC18D5E}"/>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11" xr:uid="{DF70D798-C319-4F20-97D4-324C5DDF3652}"/>
    <cellStyle name="40% - Accent6 2 2 5 2 2 3" xfId="24839" xr:uid="{E21601CD-1D58-4876-9516-8814D8E05DFF}"/>
    <cellStyle name="40% - Accent6 2 2 5 2 3" xfId="12193" xr:uid="{185AC6A7-75D7-4C8A-ABDC-E9C75A392441}"/>
    <cellStyle name="40% - Accent6 2 2 5 2 4" xfId="20622" xr:uid="{713D35AE-1ED0-4BC2-A9C3-21CA602D0E5C}"/>
    <cellStyle name="40% - Accent6 2 2 5 3" xfId="5837" xr:uid="{00000000-0005-0000-0000-000003070000}"/>
    <cellStyle name="40% - Accent6 2 2 5 3 2" xfId="14266" xr:uid="{62A18215-4208-4B6F-B894-4E72916A0C06}"/>
    <cellStyle name="40% - Accent6 2 2 5 3 3" xfId="22694" xr:uid="{A7B2C221-C7B0-4830-BF0F-91878CE117E5}"/>
    <cellStyle name="40% - Accent6 2 2 5 4" xfId="10048" xr:uid="{A02F9771-89C3-41A0-BF5E-9E6EA494C730}"/>
    <cellStyle name="40% - Accent6 2 2 5 5" xfId="18477" xr:uid="{B5B860B3-5531-4AD4-A681-7F9A64912D53}"/>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24" xr:uid="{8AC4519B-3DB6-4CD3-8F58-71FBA1E32C54}"/>
    <cellStyle name="40% - Accent6 2 2 6 2 2 3" xfId="25252" xr:uid="{CF7C034D-FB7B-4643-BC18-01B6A105E94D}"/>
    <cellStyle name="40% - Accent6 2 2 6 2 3" xfId="12606" xr:uid="{48D6618A-1E36-48CE-86F1-840BCA11DCA5}"/>
    <cellStyle name="40% - Accent6 2 2 6 2 4" xfId="21035" xr:uid="{A1439B41-D124-472A-B82A-A605B8565BDC}"/>
    <cellStyle name="40% - Accent6 2 2 6 3" xfId="6250" xr:uid="{00000000-0005-0000-0000-000007070000}"/>
    <cellStyle name="40% - Accent6 2 2 6 3 2" xfId="14679" xr:uid="{924B89AF-210F-4542-91A0-F44418539D54}"/>
    <cellStyle name="40% - Accent6 2 2 6 3 3" xfId="23107" xr:uid="{D105FF91-9952-4F01-9A69-6B3FF1040CFE}"/>
    <cellStyle name="40% - Accent6 2 2 6 4" xfId="10461" xr:uid="{FAF37CCD-3DF0-4D07-85C7-79AE19CEB730}"/>
    <cellStyle name="40% - Accent6 2 2 6 5" xfId="18890" xr:uid="{565E38B1-CCE7-4A16-AE73-A5B32E27FCAA}"/>
    <cellStyle name="40% - Accent6 2 2 7" xfId="2355" xr:uid="{00000000-0005-0000-0000-000008070000}"/>
    <cellStyle name="40% - Accent6 2 2 7 2" xfId="6663" xr:uid="{00000000-0005-0000-0000-000009070000}"/>
    <cellStyle name="40% - Accent6 2 2 7 2 2" xfId="15092" xr:uid="{F9C5FC6E-1913-487A-B3CE-B4BD2FDFC28C}"/>
    <cellStyle name="40% - Accent6 2 2 7 2 3" xfId="23520" xr:uid="{159BD97E-1391-4FF7-A3A1-C1F74F852872}"/>
    <cellStyle name="40% - Accent6 2 2 7 3" xfId="10874" xr:uid="{2E71487E-D0DA-4722-BE65-D82ABD072A8C}"/>
    <cellStyle name="40% - Accent6 2 2 7 4" xfId="19303" xr:uid="{263B9F83-50FE-4AE3-B6EA-F5004941B5F8}"/>
    <cellStyle name="40% - Accent6 2 2 8" xfId="4597" xr:uid="{00000000-0005-0000-0000-00000A070000}"/>
    <cellStyle name="40% - Accent6 2 2 8 2" xfId="13026" xr:uid="{89FA54F9-7B21-43D2-825A-0A22EFF89AAD}"/>
    <cellStyle name="40% - Accent6 2 2 8 3" xfId="21454" xr:uid="{2038E5D4-1994-4629-BA1A-6FE7BFABC94A}"/>
    <cellStyle name="40% - Accent6 2 2 9" xfId="8808" xr:uid="{ED9D3C17-DD8C-44E0-8D10-AD5D2F25F61F}"/>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7" xr:uid="{E3E4E9DE-412D-4D51-A56E-13D8A1449EDB}"/>
    <cellStyle name="40% - Accent6 2 3 2 2 2 3" xfId="24015" xr:uid="{16C4E8B3-4EEA-4C39-9C1E-C9829ED8CDDE}"/>
    <cellStyle name="40% - Accent6 2 3 2 2 3" xfId="11369" xr:uid="{78BF8298-0C34-4F7D-AA06-8F204B0B454F}"/>
    <cellStyle name="40% - Accent6 2 3 2 2 4" xfId="19798" xr:uid="{4F989D0F-9129-4754-812C-030070B994AC}"/>
    <cellStyle name="40% - Accent6 2 3 2 3" xfId="5013" xr:uid="{00000000-0005-0000-0000-00000F070000}"/>
    <cellStyle name="40% - Accent6 2 3 2 3 2" xfId="13442" xr:uid="{B7A4C8EC-7D77-40FC-9096-7DCAEA9134CB}"/>
    <cellStyle name="40% - Accent6 2 3 2 3 3" xfId="21870" xr:uid="{CEE04C6F-28BA-483A-89A0-3FE600735A9F}"/>
    <cellStyle name="40% - Accent6 2 3 2 4" xfId="9224" xr:uid="{910339AD-567F-461B-A9E0-5B4758CC43D4}"/>
    <cellStyle name="40% - Accent6 2 3 2 5" xfId="17653" xr:uid="{11E40DED-FE10-4430-8B34-43B90BA85147}"/>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6000" xr:uid="{715F4C26-1917-429A-9257-65FFBEDABD14}"/>
    <cellStyle name="40% - Accent6 2 3 3 2 2 3" xfId="24428" xr:uid="{BC777676-AFAB-4AF5-BC6C-785AF8B0BA1F}"/>
    <cellStyle name="40% - Accent6 2 3 3 2 3" xfId="11782" xr:uid="{5A1EEA98-F179-4679-8E10-39A1F769FD42}"/>
    <cellStyle name="40% - Accent6 2 3 3 2 4" xfId="20211" xr:uid="{80304BB4-8A5B-4017-8B11-E2551317038D}"/>
    <cellStyle name="40% - Accent6 2 3 3 3" xfId="5426" xr:uid="{00000000-0005-0000-0000-000013070000}"/>
    <cellStyle name="40% - Accent6 2 3 3 3 2" xfId="13855" xr:uid="{AB1FED14-AFFF-4206-86BA-868C84DF0404}"/>
    <cellStyle name="40% - Accent6 2 3 3 3 3" xfId="22283" xr:uid="{E457D98D-95B3-4420-A8F7-1CD9540B01FA}"/>
    <cellStyle name="40% - Accent6 2 3 3 4" xfId="9637" xr:uid="{22A7D378-5276-453D-9848-66F9A5261B81}"/>
    <cellStyle name="40% - Accent6 2 3 3 5" xfId="18066" xr:uid="{D140CB67-66F5-4E10-823B-8A02C7E66BDB}"/>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13" xr:uid="{BB122BC9-96BD-4715-8881-3EE26720C494}"/>
    <cellStyle name="40% - Accent6 2 3 4 2 2 3" xfId="24841" xr:uid="{F66AD1F9-D5CE-49B2-8FFE-34CB4A879C7E}"/>
    <cellStyle name="40% - Accent6 2 3 4 2 3" xfId="12195" xr:uid="{7EDB7299-FD83-4AD1-B0DF-B34BCC9F4A9C}"/>
    <cellStyle name="40% - Accent6 2 3 4 2 4" xfId="20624" xr:uid="{53003E13-1C17-4CB0-B7E8-82D978072122}"/>
    <cellStyle name="40% - Accent6 2 3 4 3" xfId="5839" xr:uid="{00000000-0005-0000-0000-000017070000}"/>
    <cellStyle name="40% - Accent6 2 3 4 3 2" xfId="14268" xr:uid="{28BBEA9C-9E80-43B3-A187-F175A67B1502}"/>
    <cellStyle name="40% - Accent6 2 3 4 3 3" xfId="22696" xr:uid="{22544E48-3910-49BF-B847-84D5F93B452F}"/>
    <cellStyle name="40% - Accent6 2 3 4 4" xfId="10050" xr:uid="{8E0DD08A-46AC-4E03-97C8-B3F904EBCA6A}"/>
    <cellStyle name="40% - Accent6 2 3 4 5" xfId="18479" xr:uid="{91686D3C-A90F-477D-BEA8-52605D100088}"/>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26" xr:uid="{EB1AD6EC-6386-482D-84BE-896901959573}"/>
    <cellStyle name="40% - Accent6 2 3 5 2 2 3" xfId="25254" xr:uid="{78EA4A5A-7374-4EA3-9539-59233BF84226}"/>
    <cellStyle name="40% - Accent6 2 3 5 2 3" xfId="12608" xr:uid="{DACEC505-E73C-47C6-A947-3DDEE4F98D62}"/>
    <cellStyle name="40% - Accent6 2 3 5 2 4" xfId="21037" xr:uid="{AFEED464-6D9E-4370-855B-1CA73780CF5F}"/>
    <cellStyle name="40% - Accent6 2 3 5 3" xfId="6252" xr:uid="{00000000-0005-0000-0000-00001B070000}"/>
    <cellStyle name="40% - Accent6 2 3 5 3 2" xfId="14681" xr:uid="{47CE08B3-901D-45BC-90D3-28F0D085EA68}"/>
    <cellStyle name="40% - Accent6 2 3 5 3 3" xfId="23109" xr:uid="{A3459647-B7DD-4430-A116-696E36C61ABB}"/>
    <cellStyle name="40% - Accent6 2 3 5 4" xfId="10463" xr:uid="{AEC615E2-0ACD-42CB-A391-4CAA65BFD07B}"/>
    <cellStyle name="40% - Accent6 2 3 5 5" xfId="18892" xr:uid="{2682D7A6-1FBC-4325-B5F9-303D928D3DA4}"/>
    <cellStyle name="40% - Accent6 2 3 6" xfId="2357" xr:uid="{00000000-0005-0000-0000-00001C070000}"/>
    <cellStyle name="40% - Accent6 2 3 6 2" xfId="6665" xr:uid="{00000000-0005-0000-0000-00001D070000}"/>
    <cellStyle name="40% - Accent6 2 3 6 2 2" xfId="15094" xr:uid="{6DFE9EF7-0116-428B-A94F-6EAE6A72F766}"/>
    <cellStyle name="40% - Accent6 2 3 6 2 3" xfId="23522" xr:uid="{96C1C58B-0302-456E-96DA-5ADED701D702}"/>
    <cellStyle name="40% - Accent6 2 3 6 3" xfId="10876" xr:uid="{30DA3441-BB9B-4454-944B-4EBABDD4053D}"/>
    <cellStyle name="40% - Accent6 2 3 6 4" xfId="19305" xr:uid="{CFC3D522-55D2-492B-9538-9A5D9843FC1F}"/>
    <cellStyle name="40% - Accent6 2 3 7" xfId="4599" xr:uid="{00000000-0005-0000-0000-00001E070000}"/>
    <cellStyle name="40% - Accent6 2 3 7 2" xfId="13028" xr:uid="{E6259357-2467-434D-85E8-1E027639F907}"/>
    <cellStyle name="40% - Accent6 2 3 7 3" xfId="21456" xr:uid="{AAE236C0-0715-4F44-A012-B8D375731D6F}"/>
    <cellStyle name="40% - Accent6 2 3 8" xfId="8810" xr:uid="{4A22D696-48B5-4C72-9204-403689532A7F}"/>
    <cellStyle name="40% - Accent6 2 3 9" xfId="17239" xr:uid="{23A838B7-202A-4A72-BFE1-E03D1C81CC57}"/>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84" xr:uid="{53AA5618-7EF8-48B8-8F5F-353CEB0773D7}"/>
    <cellStyle name="40% - Accent6 2 4 2 2 3" xfId="24012" xr:uid="{8D2EA144-0FE1-4EB4-AF77-3B938EF5CB38}"/>
    <cellStyle name="40% - Accent6 2 4 2 3" xfId="11366" xr:uid="{7CD98CB3-1BB3-4CCB-ACFD-B7CE8EA20F33}"/>
    <cellStyle name="40% - Accent6 2 4 2 4" xfId="19795" xr:uid="{67631F13-372E-4C8D-80F3-0C0F3A99E7EF}"/>
    <cellStyle name="40% - Accent6 2 4 3" xfId="5010" xr:uid="{00000000-0005-0000-0000-000022070000}"/>
    <cellStyle name="40% - Accent6 2 4 3 2" xfId="13439" xr:uid="{72052A4B-8774-44BB-A79C-DDE517A464D3}"/>
    <cellStyle name="40% - Accent6 2 4 3 3" xfId="21867" xr:uid="{476A81D8-C892-4A36-B0C0-E67752BECF21}"/>
    <cellStyle name="40% - Accent6 2 4 4" xfId="9221" xr:uid="{BE30227E-B6AC-4DC1-9C19-502BAC85A0AA}"/>
    <cellStyle name="40% - Accent6 2 4 5" xfId="17650" xr:uid="{7D6C865D-E23B-45E1-90E5-E07C4FEE7A8A}"/>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7" xr:uid="{951F208A-643C-476C-9FCE-B562C429DAA5}"/>
    <cellStyle name="40% - Accent6 2 5 2 2 3" xfId="24425" xr:uid="{15DF98CB-7B70-4F5E-8A3E-C52F47BED267}"/>
    <cellStyle name="40% - Accent6 2 5 2 3" xfId="11779" xr:uid="{29D848F5-D8AE-46D3-B6AB-030C4FC2EAC9}"/>
    <cellStyle name="40% - Accent6 2 5 2 4" xfId="20208" xr:uid="{DC2E4DD3-130B-402F-9493-55CFDBDC6FB3}"/>
    <cellStyle name="40% - Accent6 2 5 3" xfId="5423" xr:uid="{00000000-0005-0000-0000-000026070000}"/>
    <cellStyle name="40% - Accent6 2 5 3 2" xfId="13852" xr:uid="{1A70A397-CF4F-483C-9ECA-35D6EF23F064}"/>
    <cellStyle name="40% - Accent6 2 5 3 3" xfId="22280" xr:uid="{34EFFD64-70AE-4DFA-8188-653C76A28C4D}"/>
    <cellStyle name="40% - Accent6 2 5 4" xfId="9634" xr:uid="{E61F549C-3489-40D4-B292-10534AAF75A9}"/>
    <cellStyle name="40% - Accent6 2 5 5" xfId="18063" xr:uid="{9A98B9F4-BEBC-4943-B4FC-C82AB0B8B4A5}"/>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10" xr:uid="{783DC168-9ECA-42CE-B487-3DA5A488CE0B}"/>
    <cellStyle name="40% - Accent6 2 6 2 2 3" xfId="24838" xr:uid="{22335C73-2C64-4CD6-82B6-4C660BA0D2A3}"/>
    <cellStyle name="40% - Accent6 2 6 2 3" xfId="12192" xr:uid="{C5575FD6-E907-40E7-A64F-B341054BCED2}"/>
    <cellStyle name="40% - Accent6 2 6 2 4" xfId="20621" xr:uid="{CB5F8BA3-BC5A-4185-909B-FC84EDB7B8B7}"/>
    <cellStyle name="40% - Accent6 2 6 3" xfId="5836" xr:uid="{00000000-0005-0000-0000-00002A070000}"/>
    <cellStyle name="40% - Accent6 2 6 3 2" xfId="14265" xr:uid="{49591984-C412-410C-8A90-741E8865C062}"/>
    <cellStyle name="40% - Accent6 2 6 3 3" xfId="22693" xr:uid="{94614AD8-5A50-4FC8-9FC2-B685E4D72FEB}"/>
    <cellStyle name="40% - Accent6 2 6 4" xfId="10047" xr:uid="{00D58021-2083-426A-A6AB-E018874DFE43}"/>
    <cellStyle name="40% - Accent6 2 6 5" xfId="18476" xr:uid="{6F3BD314-AD7B-4165-8347-FA0BE7C0F5B6}"/>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23" xr:uid="{738B3ADB-9195-4A2B-9D27-58C427623DB1}"/>
    <cellStyle name="40% - Accent6 2 7 2 2 3" xfId="25251" xr:uid="{03F46BAC-6AD3-4EF7-AA15-2E83224244EC}"/>
    <cellStyle name="40% - Accent6 2 7 2 3" xfId="12605" xr:uid="{4B5F35B0-49C4-4807-A320-909308DF6AFD}"/>
    <cellStyle name="40% - Accent6 2 7 2 4" xfId="21034" xr:uid="{ACBCF645-29D4-43EC-B27C-252D549892ED}"/>
    <cellStyle name="40% - Accent6 2 7 3" xfId="6249" xr:uid="{00000000-0005-0000-0000-00002E070000}"/>
    <cellStyle name="40% - Accent6 2 7 3 2" xfId="14678" xr:uid="{50823384-01C5-469F-BAF1-73AAC30E7577}"/>
    <cellStyle name="40% - Accent6 2 7 3 3" xfId="23106" xr:uid="{265152EF-815C-4BB4-85ED-6CE40987A396}"/>
    <cellStyle name="40% - Accent6 2 7 4" xfId="10460" xr:uid="{C8704D95-36C9-4467-B159-3D9558D7FEFE}"/>
    <cellStyle name="40% - Accent6 2 7 5" xfId="18889" xr:uid="{BC544085-8681-454A-932F-386F012076C5}"/>
    <cellStyle name="40% - Accent6 2 8" xfId="2354" xr:uid="{00000000-0005-0000-0000-00002F070000}"/>
    <cellStyle name="40% - Accent6 2 8 2" xfId="6662" xr:uid="{00000000-0005-0000-0000-000030070000}"/>
    <cellStyle name="40% - Accent6 2 8 2 2" xfId="15091" xr:uid="{3CEE9BF3-F808-40BF-8603-1CF5CF6A6063}"/>
    <cellStyle name="40% - Accent6 2 8 2 3" xfId="23519" xr:uid="{1FA9A647-923C-464C-B7A7-311CA6351F32}"/>
    <cellStyle name="40% - Accent6 2 8 3" xfId="10873" xr:uid="{97F30983-AE6C-4B63-A52D-D859DF707665}"/>
    <cellStyle name="40% - Accent6 2 8 4" xfId="19302" xr:uid="{740AE352-3783-49F0-85A8-62F7A2AB13E7}"/>
    <cellStyle name="40% - Accent6 2 9" xfId="4596" xr:uid="{00000000-0005-0000-0000-000031070000}"/>
    <cellStyle name="40% - Accent6 2 9 2" xfId="13025" xr:uid="{489E6C60-4977-4864-96B2-D1057FAA46BE}"/>
    <cellStyle name="40% - Accent6 2 9 3" xfId="21453" xr:uid="{7FB8D195-5EF6-4BB0-BD58-8981D9941EDA}"/>
    <cellStyle name="40% - Accent6 3" xfId="94" xr:uid="{00000000-0005-0000-0000-000032070000}"/>
    <cellStyle name="40% - Accent6 3 10" xfId="17240" xr:uid="{51BA5E6D-AC77-4710-9301-F272FF608E6A}"/>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9" xr:uid="{0C5784F5-9491-4B0E-8024-F41BA27EB445}"/>
    <cellStyle name="40% - Accent6 3 2 2 2 2 3" xfId="24017" xr:uid="{88D92B84-49A1-4B9E-AC36-98FDF6FFDF9C}"/>
    <cellStyle name="40% - Accent6 3 2 2 2 3" xfId="11371" xr:uid="{2056FFF0-EAA7-43B8-8C95-A2E1A30E33DA}"/>
    <cellStyle name="40% - Accent6 3 2 2 2 4" xfId="19800" xr:uid="{FBA4DC71-C578-4A21-A46C-176C4AFA13D1}"/>
    <cellStyle name="40% - Accent6 3 2 2 3" xfId="5015" xr:uid="{00000000-0005-0000-0000-000037070000}"/>
    <cellStyle name="40% - Accent6 3 2 2 3 2" xfId="13444" xr:uid="{F2AC6526-3BF8-403D-A7E4-EB872BBE8B69}"/>
    <cellStyle name="40% - Accent6 3 2 2 3 3" xfId="21872" xr:uid="{0F9D5D34-94F7-4804-A389-93DAF0EFA1E6}"/>
    <cellStyle name="40% - Accent6 3 2 2 4" xfId="9226" xr:uid="{24CCFF1A-1E29-4DA8-BF96-A6A2073B0239}"/>
    <cellStyle name="40% - Accent6 3 2 2 5" xfId="17655" xr:uid="{B6101EAB-C967-4A02-B262-53363FBA4CB8}"/>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6002" xr:uid="{E5B09473-4E0E-4A8D-84D8-0D09B8797452}"/>
    <cellStyle name="40% - Accent6 3 2 3 2 2 3" xfId="24430" xr:uid="{60598459-A2FF-4BB4-81B6-3B42B766ECBF}"/>
    <cellStyle name="40% - Accent6 3 2 3 2 3" xfId="11784" xr:uid="{A88E7056-D0EF-4BCA-ACB0-CAF71BC0BE28}"/>
    <cellStyle name="40% - Accent6 3 2 3 2 4" xfId="20213" xr:uid="{A4E7D92C-64A7-4A6E-B36E-86BC48D6B5D5}"/>
    <cellStyle name="40% - Accent6 3 2 3 3" xfId="5428" xr:uid="{00000000-0005-0000-0000-00003B070000}"/>
    <cellStyle name="40% - Accent6 3 2 3 3 2" xfId="13857" xr:uid="{D28C74D9-A512-480F-B03B-99F9C74013FC}"/>
    <cellStyle name="40% - Accent6 3 2 3 3 3" xfId="22285" xr:uid="{7F5A05BD-FB2A-4500-BBCA-058F25E2DE22}"/>
    <cellStyle name="40% - Accent6 3 2 3 4" xfId="9639" xr:uid="{3C9381D4-E5FD-4933-825B-F026ABA0ED2A}"/>
    <cellStyle name="40% - Accent6 3 2 3 5" xfId="18068" xr:uid="{731119D6-291A-4977-A6A9-2AF35C33175A}"/>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15" xr:uid="{E01F6050-FB12-4E6D-A1CC-B73D70F60D4F}"/>
    <cellStyle name="40% - Accent6 3 2 4 2 2 3" xfId="24843" xr:uid="{84631371-0B9D-41C3-88C1-4A544D6B9A81}"/>
    <cellStyle name="40% - Accent6 3 2 4 2 3" xfId="12197" xr:uid="{43362E1D-12F4-4195-8EAE-E1F9776D3E19}"/>
    <cellStyle name="40% - Accent6 3 2 4 2 4" xfId="20626" xr:uid="{71F24EC0-5593-4979-A082-51CE7D084147}"/>
    <cellStyle name="40% - Accent6 3 2 4 3" xfId="5841" xr:uid="{00000000-0005-0000-0000-00003F070000}"/>
    <cellStyle name="40% - Accent6 3 2 4 3 2" xfId="14270" xr:uid="{3966126D-5730-46DC-9C7C-DEBC590243D4}"/>
    <cellStyle name="40% - Accent6 3 2 4 3 3" xfId="22698" xr:uid="{80C64D6C-6C4B-4F7B-A6C4-650E357A32AB}"/>
    <cellStyle name="40% - Accent6 3 2 4 4" xfId="10052" xr:uid="{1078DDF6-098F-4E15-A462-C7BB7A392538}"/>
    <cellStyle name="40% - Accent6 3 2 4 5" xfId="18481" xr:uid="{0B23727E-5F39-4DBC-B0D5-DB588130BCEE}"/>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8" xr:uid="{3F1508C7-E6F7-4929-BECC-BF1A6EF6CEFB}"/>
    <cellStyle name="40% - Accent6 3 2 5 2 2 3" xfId="25256" xr:uid="{57CCDD26-0B31-4651-B4B5-B7880AAB3392}"/>
    <cellStyle name="40% - Accent6 3 2 5 2 3" xfId="12610" xr:uid="{28AA6BDE-A6ED-40DF-A74C-C2D437BF56A0}"/>
    <cellStyle name="40% - Accent6 3 2 5 2 4" xfId="21039" xr:uid="{D8A67FCE-5D16-48B3-88AC-989FFA78C435}"/>
    <cellStyle name="40% - Accent6 3 2 5 3" xfId="6254" xr:uid="{00000000-0005-0000-0000-000043070000}"/>
    <cellStyle name="40% - Accent6 3 2 5 3 2" xfId="14683" xr:uid="{359290B9-7E1B-4667-BA85-C5BE159D4ED3}"/>
    <cellStyle name="40% - Accent6 3 2 5 3 3" xfId="23111" xr:uid="{CBD683F3-FBBE-420E-89C9-3296C0C6C012}"/>
    <cellStyle name="40% - Accent6 3 2 5 4" xfId="10465" xr:uid="{116D879D-F765-4A3E-83DD-7E88898EE144}"/>
    <cellStyle name="40% - Accent6 3 2 5 5" xfId="18894" xr:uid="{978230BB-5699-4CE7-93B2-161015963956}"/>
    <cellStyle name="40% - Accent6 3 2 6" xfId="2359" xr:uid="{00000000-0005-0000-0000-000044070000}"/>
    <cellStyle name="40% - Accent6 3 2 6 2" xfId="6667" xr:uid="{00000000-0005-0000-0000-000045070000}"/>
    <cellStyle name="40% - Accent6 3 2 6 2 2" xfId="15096" xr:uid="{E1A0F015-DC3D-4E08-8B4B-F0ECDC9C75FA}"/>
    <cellStyle name="40% - Accent6 3 2 6 2 3" xfId="23524" xr:uid="{5D1F8DDE-193D-4B34-826E-F222A64FE571}"/>
    <cellStyle name="40% - Accent6 3 2 6 3" xfId="10878" xr:uid="{2ED741ED-8405-4158-837D-50107EFC9EA3}"/>
    <cellStyle name="40% - Accent6 3 2 6 4" xfId="19307" xr:uid="{5A212B7B-A5C3-437E-A36E-7A297496F5C1}"/>
    <cellStyle name="40% - Accent6 3 2 7" xfId="4601" xr:uid="{00000000-0005-0000-0000-000046070000}"/>
    <cellStyle name="40% - Accent6 3 2 7 2" xfId="13030" xr:uid="{F4AC27D4-4215-40E6-9F53-3DF6DBABA1DC}"/>
    <cellStyle name="40% - Accent6 3 2 7 3" xfId="21458" xr:uid="{66A5BCBF-40B6-480F-832C-F407B7ABE481}"/>
    <cellStyle name="40% - Accent6 3 2 8" xfId="8812" xr:uid="{60B23EEE-8FE7-4C06-9949-7E0F521D5060}"/>
    <cellStyle name="40% - Accent6 3 2 9" xfId="17241" xr:uid="{464145BD-27EF-469A-B454-E68B1A35B4C7}"/>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8" xr:uid="{BDF84A16-2421-45DF-99B6-763174387122}"/>
    <cellStyle name="40% - Accent6 3 3 2 2 3" xfId="24016" xr:uid="{E2846329-3D31-4700-9323-3ADDA860E911}"/>
    <cellStyle name="40% - Accent6 3 3 2 3" xfId="11370" xr:uid="{9654CD9C-1691-4C45-88A7-52749A5E664D}"/>
    <cellStyle name="40% - Accent6 3 3 2 4" xfId="19799" xr:uid="{F3E25F0E-0B17-47C6-992C-69FA1EF2C644}"/>
    <cellStyle name="40% - Accent6 3 3 3" xfId="5014" xr:uid="{00000000-0005-0000-0000-00004A070000}"/>
    <cellStyle name="40% - Accent6 3 3 3 2" xfId="13443" xr:uid="{661BF3E5-3E10-404D-B936-D8CEC092E6AF}"/>
    <cellStyle name="40% - Accent6 3 3 3 3" xfId="21871" xr:uid="{E576C606-24AE-4337-9329-0BD88E8E8984}"/>
    <cellStyle name="40% - Accent6 3 3 4" xfId="9225" xr:uid="{A16304CB-CF22-4564-969D-CE4DDDB6832B}"/>
    <cellStyle name="40% - Accent6 3 3 5" xfId="17654" xr:uid="{9AA6CCB9-0403-48A9-A783-B43CAA929A58}"/>
    <cellStyle name="40% - Accent6 3 4" xfId="1117" xr:uid="{00000000-0005-0000-0000-00004B070000}"/>
    <cellStyle name="40% - Accent6 3 4 2" xfId="3348" xr:uid="{00000000-0005-0000-0000-00004C070000}"/>
    <cellStyle name="40% - Accent6 3 4 2 2" xfId="7572" xr:uid="{00000000-0005-0000-0000-00004D070000}"/>
    <cellStyle name="40% - Accent6 3 4 2 2 2" xfId="16001" xr:uid="{F4E6853C-6BD5-4E04-8204-C13B6C7EB7E6}"/>
    <cellStyle name="40% - Accent6 3 4 2 2 3" xfId="24429" xr:uid="{2A989E79-10F7-45A0-B16C-C57B647965D6}"/>
    <cellStyle name="40% - Accent6 3 4 2 3" xfId="11783" xr:uid="{02D86FA2-4B24-404B-B770-3BBA1351514E}"/>
    <cellStyle name="40% - Accent6 3 4 2 4" xfId="20212" xr:uid="{427CCB2A-0158-4399-8690-A593A954653E}"/>
    <cellStyle name="40% - Accent6 3 4 3" xfId="5427" xr:uid="{00000000-0005-0000-0000-00004E070000}"/>
    <cellStyle name="40% - Accent6 3 4 3 2" xfId="13856" xr:uid="{463EE066-1D8D-4A36-B99E-0826722C18E4}"/>
    <cellStyle name="40% - Accent6 3 4 3 3" xfId="22284" xr:uid="{BEFD832D-FB9D-4E83-BD0E-4C1EAA81D997}"/>
    <cellStyle name="40% - Accent6 3 4 4" xfId="9638" xr:uid="{C279F8AC-C838-4DA2-9BB4-FF87E5951A22}"/>
    <cellStyle name="40% - Accent6 3 4 5" xfId="18067" xr:uid="{7EC96520-039E-4ACD-A1E6-AFE1CF038E54}"/>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14" xr:uid="{E426D4B8-0F2A-4555-B4C2-6B6A90AA5713}"/>
    <cellStyle name="40% - Accent6 3 5 2 2 3" xfId="24842" xr:uid="{62C2C166-9B6D-4DC4-BFB7-0204F8ECEFB1}"/>
    <cellStyle name="40% - Accent6 3 5 2 3" xfId="12196" xr:uid="{FB812BCB-FBDE-4600-B9F6-BC4794D89669}"/>
    <cellStyle name="40% - Accent6 3 5 2 4" xfId="20625" xr:uid="{9EE88C59-D1E3-48C4-A8F0-AEBE4D161B4A}"/>
    <cellStyle name="40% - Accent6 3 5 3" xfId="5840" xr:uid="{00000000-0005-0000-0000-000052070000}"/>
    <cellStyle name="40% - Accent6 3 5 3 2" xfId="14269" xr:uid="{266ED597-8E5E-4322-9941-0DE6E288B9A4}"/>
    <cellStyle name="40% - Accent6 3 5 3 3" xfId="22697" xr:uid="{8323C914-8122-4C1E-93E5-3FF357304AE7}"/>
    <cellStyle name="40% - Accent6 3 5 4" xfId="10051" xr:uid="{98041CE7-999D-4575-8AFF-6874CB91114B}"/>
    <cellStyle name="40% - Accent6 3 5 5" xfId="18480" xr:uid="{FCD132B4-8792-4EF3-BA0F-D6E8802A8165}"/>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7" xr:uid="{A45CC9F0-620A-4A24-A32E-3788E62E1720}"/>
    <cellStyle name="40% - Accent6 3 6 2 2 3" xfId="25255" xr:uid="{F4DFB8AB-F909-40B0-8C7A-261DA4D080E3}"/>
    <cellStyle name="40% - Accent6 3 6 2 3" xfId="12609" xr:uid="{9B03E620-9BAF-41D4-9B49-A4E6EFC4220B}"/>
    <cellStyle name="40% - Accent6 3 6 2 4" xfId="21038" xr:uid="{8DCD9EEA-DC59-4F6D-8F71-2A88F861A652}"/>
    <cellStyle name="40% - Accent6 3 6 3" xfId="6253" xr:uid="{00000000-0005-0000-0000-000056070000}"/>
    <cellStyle name="40% - Accent6 3 6 3 2" xfId="14682" xr:uid="{ADA2AE34-1FBB-44DB-8D19-64A036F86DDB}"/>
    <cellStyle name="40% - Accent6 3 6 3 3" xfId="23110" xr:uid="{F37DBBE9-64FA-404B-B05E-AABA24EFD968}"/>
    <cellStyle name="40% - Accent6 3 6 4" xfId="10464" xr:uid="{7F131B4D-CF6C-4999-993F-0444C11EBC19}"/>
    <cellStyle name="40% - Accent6 3 6 5" xfId="18893" xr:uid="{BF8FECCC-54B5-4362-B7DB-4DB3DC3EA43E}"/>
    <cellStyle name="40% - Accent6 3 7" xfId="2358" xr:uid="{00000000-0005-0000-0000-000057070000}"/>
    <cellStyle name="40% - Accent6 3 7 2" xfId="6666" xr:uid="{00000000-0005-0000-0000-000058070000}"/>
    <cellStyle name="40% - Accent6 3 7 2 2" xfId="15095" xr:uid="{146D394F-DF4F-42AC-9DF9-C60CA2269B79}"/>
    <cellStyle name="40% - Accent6 3 7 2 3" xfId="23523" xr:uid="{65AD95BA-91E3-4255-BEB5-710CB930A2E1}"/>
    <cellStyle name="40% - Accent6 3 7 3" xfId="10877" xr:uid="{15C188F8-A039-4B29-887C-9F3BAF0C0863}"/>
    <cellStyle name="40% - Accent6 3 7 4" xfId="19306" xr:uid="{B488A4FC-1F4E-4665-A389-CC5276A2D7F3}"/>
    <cellStyle name="40% - Accent6 3 8" xfId="4600" xr:uid="{00000000-0005-0000-0000-000059070000}"/>
    <cellStyle name="40% - Accent6 3 8 2" xfId="13029" xr:uid="{9481577F-A73B-41F5-A201-71CD8D74DF34}"/>
    <cellStyle name="40% - Accent6 3 8 3" xfId="21457" xr:uid="{7ED6BF29-E7B5-4CC2-A8D0-EECFD2997197}"/>
    <cellStyle name="40% - Accent6 3 9" xfId="8811" xr:uid="{C05BA139-12AB-4496-8985-CFFC68A60DD6}"/>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90" xr:uid="{050C0231-EECC-4C24-B4CB-31F888FC21BC}"/>
    <cellStyle name="40% - Accent6 4 2 2 2 3" xfId="24018" xr:uid="{D3F826BA-D618-4D9B-8904-A2DA0FEF7663}"/>
    <cellStyle name="40% - Accent6 4 2 2 3" xfId="11372" xr:uid="{222CD9E4-67F9-45EA-8C0C-630ED39ED3DC}"/>
    <cellStyle name="40% - Accent6 4 2 2 4" xfId="19801" xr:uid="{85305609-2A30-4569-AF7A-56139593C5C0}"/>
    <cellStyle name="40% - Accent6 4 2 3" xfId="5016" xr:uid="{00000000-0005-0000-0000-00005E070000}"/>
    <cellStyle name="40% - Accent6 4 2 3 2" xfId="13445" xr:uid="{11491FC3-0840-4DC2-B7F1-DEB298EC637A}"/>
    <cellStyle name="40% - Accent6 4 2 3 3" xfId="21873" xr:uid="{70515CFA-157A-4A1E-8DD6-47670D3E811B}"/>
    <cellStyle name="40% - Accent6 4 2 4" xfId="9227" xr:uid="{C509DC6D-1C6A-4636-868F-10ECAEF68829}"/>
    <cellStyle name="40% - Accent6 4 2 5" xfId="17656" xr:uid="{995F7006-ADD1-4951-903F-DF76D2003BC4}"/>
    <cellStyle name="40% - Accent6 4 3" xfId="1119" xr:uid="{00000000-0005-0000-0000-00005F070000}"/>
    <cellStyle name="40% - Accent6 4 3 2" xfId="3350" xr:uid="{00000000-0005-0000-0000-000060070000}"/>
    <cellStyle name="40% - Accent6 4 3 2 2" xfId="7574" xr:uid="{00000000-0005-0000-0000-000061070000}"/>
    <cellStyle name="40% - Accent6 4 3 2 2 2" xfId="16003" xr:uid="{0245BD2A-94E6-4D11-8876-87BBF011FFD8}"/>
    <cellStyle name="40% - Accent6 4 3 2 2 3" xfId="24431" xr:uid="{A195FEE0-F05B-4ED6-B1F3-B483366EF2DA}"/>
    <cellStyle name="40% - Accent6 4 3 2 3" xfId="11785" xr:uid="{B228082C-2413-4284-A354-C4D9756BC3AD}"/>
    <cellStyle name="40% - Accent6 4 3 2 4" xfId="20214" xr:uid="{49777898-9DEE-459B-8D7C-ADAC97C53C30}"/>
    <cellStyle name="40% - Accent6 4 3 3" xfId="5429" xr:uid="{00000000-0005-0000-0000-000062070000}"/>
    <cellStyle name="40% - Accent6 4 3 3 2" xfId="13858" xr:uid="{7EDC787E-4F60-40E5-AFC1-ADF5B624F05F}"/>
    <cellStyle name="40% - Accent6 4 3 3 3" xfId="22286" xr:uid="{CE4B3826-44E1-4122-8B13-0550B00A21B7}"/>
    <cellStyle name="40% - Accent6 4 3 4" xfId="9640" xr:uid="{B1F5FDCE-B7ED-4A03-B4ED-2BC50EA10C96}"/>
    <cellStyle name="40% - Accent6 4 3 5" xfId="18069" xr:uid="{ABD7A769-448E-4574-9EC7-A42195974982}"/>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16" xr:uid="{1858ADA2-B5D2-4DA3-935F-11B5A2D7AB46}"/>
    <cellStyle name="40% - Accent6 4 4 2 2 3" xfId="24844" xr:uid="{E46121C6-A478-4BC2-A437-D83EA7E3547A}"/>
    <cellStyle name="40% - Accent6 4 4 2 3" xfId="12198" xr:uid="{49712D7E-F658-4E34-8BDA-EF7B015F417D}"/>
    <cellStyle name="40% - Accent6 4 4 2 4" xfId="20627" xr:uid="{8D8F80C1-829F-4394-80E2-ACB72F1631F2}"/>
    <cellStyle name="40% - Accent6 4 4 3" xfId="5842" xr:uid="{00000000-0005-0000-0000-000066070000}"/>
    <cellStyle name="40% - Accent6 4 4 3 2" xfId="14271" xr:uid="{270EC442-9015-4340-A4F4-3D5752606068}"/>
    <cellStyle name="40% - Accent6 4 4 3 3" xfId="22699" xr:uid="{28182A55-6906-4DC9-BCEC-5162AE2332A3}"/>
    <cellStyle name="40% - Accent6 4 4 4" xfId="10053" xr:uid="{12C4B7DA-30BA-46B3-BEB4-EB7AC70A42C2}"/>
    <cellStyle name="40% - Accent6 4 4 5" xfId="18482" xr:uid="{4461D706-2B49-42E1-A2BD-03675023615F}"/>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9" xr:uid="{6B619690-264C-4F13-968A-B3CAC6C65995}"/>
    <cellStyle name="40% - Accent6 4 5 2 2 3" xfId="25257" xr:uid="{03E8F1D8-43C5-48E5-8266-32899F03C6E5}"/>
    <cellStyle name="40% - Accent6 4 5 2 3" xfId="12611" xr:uid="{1FAD8EC8-E688-4E86-8172-9277EDE1479B}"/>
    <cellStyle name="40% - Accent6 4 5 2 4" xfId="21040" xr:uid="{340374C3-22FC-46ED-8238-C9FF1C90BE27}"/>
    <cellStyle name="40% - Accent6 4 5 3" xfId="6255" xr:uid="{00000000-0005-0000-0000-00006A070000}"/>
    <cellStyle name="40% - Accent6 4 5 3 2" xfId="14684" xr:uid="{D1ED6772-EB02-4F46-B255-8DDC56DBEF26}"/>
    <cellStyle name="40% - Accent6 4 5 3 3" xfId="23112" xr:uid="{33B894FC-2889-49F5-BBFA-81AEE3835281}"/>
    <cellStyle name="40% - Accent6 4 5 4" xfId="10466" xr:uid="{A8CF2881-1F04-4930-BDE7-1F8BDFF8F7D6}"/>
    <cellStyle name="40% - Accent6 4 5 5" xfId="18895" xr:uid="{F8FD97BA-C81E-4AEC-B95E-51459C6A859C}"/>
    <cellStyle name="40% - Accent6 4 6" xfId="2360" xr:uid="{00000000-0005-0000-0000-00006B070000}"/>
    <cellStyle name="40% - Accent6 4 6 2" xfId="6668" xr:uid="{00000000-0005-0000-0000-00006C070000}"/>
    <cellStyle name="40% - Accent6 4 6 2 2" xfId="15097" xr:uid="{53B1800E-465A-4AE5-832C-398D5C5D9789}"/>
    <cellStyle name="40% - Accent6 4 6 2 3" xfId="23525" xr:uid="{F1129201-0472-4769-8A95-DA75C1056D55}"/>
    <cellStyle name="40% - Accent6 4 6 3" xfId="10879" xr:uid="{874A830C-6B8B-41BD-95B3-F583A1F79042}"/>
    <cellStyle name="40% - Accent6 4 6 4" xfId="19308" xr:uid="{E6E945AA-82F9-42DF-AEE6-1E3D650777F4}"/>
    <cellStyle name="40% - Accent6 4 7" xfId="4602" xr:uid="{00000000-0005-0000-0000-00006D070000}"/>
    <cellStyle name="40% - Accent6 4 7 2" xfId="13031" xr:uid="{49895E9D-CD41-4E5D-96F7-DAFB0CDE0547}"/>
    <cellStyle name="40% - Accent6 4 7 3" xfId="21459" xr:uid="{1EC7BA8F-EFB3-49D3-9B17-D3CB839548D0}"/>
    <cellStyle name="40% - Accent6 4 8" xfId="8813" xr:uid="{5322DC9E-2FE7-4A5F-B449-781AC862581D}"/>
    <cellStyle name="40% - Accent6 4 9" xfId="17242" xr:uid="{14A3ECD5-E89C-49E9-9D6E-6587DD4D01D7}"/>
    <cellStyle name="40% - Accent6 5" xfId="659" xr:uid="{00000000-0005-0000-0000-00006E070000}"/>
    <cellStyle name="40% - Accent6 5 2" xfId="2930" xr:uid="{00000000-0005-0000-0000-00006F070000}"/>
    <cellStyle name="40% - Accent6 5 2 2" xfId="7154" xr:uid="{00000000-0005-0000-0000-000070070000}"/>
    <cellStyle name="40% - Accent6 5 2 2 2" xfId="15583" xr:uid="{7C2C90DC-9C84-4A9F-87DC-B12F3EED86A8}"/>
    <cellStyle name="40% - Accent6 5 2 2 3" xfId="24011" xr:uid="{4E0F669D-90C3-4DE6-8B29-E223E0B6AA94}"/>
    <cellStyle name="40% - Accent6 5 2 3" xfId="11365" xr:uid="{A1BD92D4-D00B-4972-845C-6E05362DD48E}"/>
    <cellStyle name="40% - Accent6 5 2 4" xfId="19794" xr:uid="{801D5D5A-A33F-4346-BF5C-DFB0620E3F76}"/>
    <cellStyle name="40% - Accent6 5 3" xfId="5009" xr:uid="{00000000-0005-0000-0000-000071070000}"/>
    <cellStyle name="40% - Accent6 5 3 2" xfId="13438" xr:uid="{673D6DE6-DE0F-4999-AC2D-A5DD7E4191D8}"/>
    <cellStyle name="40% - Accent6 5 3 3" xfId="21866" xr:uid="{B3D296F8-82D2-4C26-9D45-F4D5EFE02F76}"/>
    <cellStyle name="40% - Accent6 5 4" xfId="9220" xr:uid="{F7E095C5-7C67-4740-A922-1B3B354ED153}"/>
    <cellStyle name="40% - Accent6 5 5" xfId="17649" xr:uid="{20F9D31D-AB37-4BF9-BACF-F682D2A3AB0D}"/>
    <cellStyle name="40% - Accent6 6" xfId="1112" xr:uid="{00000000-0005-0000-0000-000072070000}"/>
    <cellStyle name="40% - Accent6 6 2" xfId="3343" xr:uid="{00000000-0005-0000-0000-000073070000}"/>
    <cellStyle name="40% - Accent6 6 2 2" xfId="7567" xr:uid="{00000000-0005-0000-0000-000074070000}"/>
    <cellStyle name="40% - Accent6 6 2 2 2" xfId="15996" xr:uid="{90D1010A-572D-4C2D-90DE-97CEB81DFD8E}"/>
    <cellStyle name="40% - Accent6 6 2 2 3" xfId="24424" xr:uid="{47635646-3BE8-4467-BD15-A4A0D09276AC}"/>
    <cellStyle name="40% - Accent6 6 2 3" xfId="11778" xr:uid="{CECC4961-D909-48FF-84ED-BE454B418677}"/>
    <cellStyle name="40% - Accent6 6 2 4" xfId="20207" xr:uid="{67A148C3-538D-4CCD-A027-8A4B82E28237}"/>
    <cellStyle name="40% - Accent6 6 3" xfId="5422" xr:uid="{00000000-0005-0000-0000-000075070000}"/>
    <cellStyle name="40% - Accent6 6 3 2" xfId="13851" xr:uid="{736B4D96-96AC-48C3-A049-21F580282C64}"/>
    <cellStyle name="40% - Accent6 6 3 3" xfId="22279" xr:uid="{B14EF834-EE5E-4FC8-BB4B-75F1B0F185B8}"/>
    <cellStyle name="40% - Accent6 6 4" xfId="9633" xr:uid="{EB2610F0-7B24-46B6-ACF3-6BD4A20E681B}"/>
    <cellStyle name="40% - Accent6 6 5" xfId="18062" xr:uid="{20DDD904-2C84-46A9-B5DF-08784810A9FC}"/>
    <cellStyle name="40% - Accent6 7" xfId="1526" xr:uid="{00000000-0005-0000-0000-000076070000}"/>
    <cellStyle name="40% - Accent6 7 2" xfId="3756" xr:uid="{00000000-0005-0000-0000-000077070000}"/>
    <cellStyle name="40% - Accent6 7 2 2" xfId="7980" xr:uid="{00000000-0005-0000-0000-000078070000}"/>
    <cellStyle name="40% - Accent6 7 2 2 2" xfId="16409" xr:uid="{703E088C-359E-4F08-8EFA-B86BE8EF6150}"/>
    <cellStyle name="40% - Accent6 7 2 2 3" xfId="24837" xr:uid="{2D89B4A8-7BC2-469A-8926-768AD8A39A0D}"/>
    <cellStyle name="40% - Accent6 7 2 3" xfId="12191" xr:uid="{810D86C1-24A4-4B63-A8CF-04C5E8418DCC}"/>
    <cellStyle name="40% - Accent6 7 2 4" xfId="20620" xr:uid="{280A450D-E01E-4DF9-9646-E22F567A467C}"/>
    <cellStyle name="40% - Accent6 7 3" xfId="5835" xr:uid="{00000000-0005-0000-0000-000079070000}"/>
    <cellStyle name="40% - Accent6 7 3 2" xfId="14264" xr:uid="{D0FDA07F-1D7A-4356-884A-39E34F23187B}"/>
    <cellStyle name="40% - Accent6 7 3 3" xfId="22692" xr:uid="{0C7F118D-7218-43C7-B618-CAE4A75C8AF7}"/>
    <cellStyle name="40% - Accent6 7 4" xfId="10046" xr:uid="{54ACA519-BE70-43DF-B7DA-D478E38E1158}"/>
    <cellStyle name="40% - Accent6 7 5" xfId="18475" xr:uid="{EADB61A0-43C9-4B21-AA6F-61A2FFE2BD7A}"/>
    <cellStyle name="40% - Accent6 8" xfId="1940" xr:uid="{00000000-0005-0000-0000-00007A070000}"/>
    <cellStyle name="40% - Accent6 8 2" xfId="4169" xr:uid="{00000000-0005-0000-0000-00007B070000}"/>
    <cellStyle name="40% - Accent6 8 2 2" xfId="8393" xr:uid="{00000000-0005-0000-0000-00007C070000}"/>
    <cellStyle name="40% - Accent6 8 2 2 2" xfId="16822" xr:uid="{9A015465-6AEB-4FFC-AB73-7B8F6AB307A4}"/>
    <cellStyle name="40% - Accent6 8 2 2 3" xfId="25250" xr:uid="{F5495641-6388-4714-B7FD-A4321E974324}"/>
    <cellStyle name="40% - Accent6 8 2 3" xfId="12604" xr:uid="{D420593F-CB58-4CA5-BE3D-3684B49FE9DA}"/>
    <cellStyle name="40% - Accent6 8 2 4" xfId="21033" xr:uid="{DEC9B80A-BC9E-4ED9-AD22-7105977DB010}"/>
    <cellStyle name="40% - Accent6 8 3" xfId="6248" xr:uid="{00000000-0005-0000-0000-00007D070000}"/>
    <cellStyle name="40% - Accent6 8 3 2" xfId="14677" xr:uid="{06EAD209-9E3E-4C1A-8038-D77FE628D5CB}"/>
    <cellStyle name="40% - Accent6 8 3 3" xfId="23105" xr:uid="{CAB69C63-EDF5-412B-AF45-FD060E82EA0F}"/>
    <cellStyle name="40% - Accent6 8 4" xfId="10459" xr:uid="{309467A0-B468-4DE9-9653-7CDC8684BF05}"/>
    <cellStyle name="40% - Accent6 8 5" xfId="18888" xr:uid="{3079B27C-C0D2-446D-A180-8722B2F88DB3}"/>
    <cellStyle name="40% - Accent6 9" xfId="2353" xr:uid="{00000000-0005-0000-0000-00007E070000}"/>
    <cellStyle name="40% - Accent6 9 2" xfId="6661" xr:uid="{00000000-0005-0000-0000-00007F070000}"/>
    <cellStyle name="40% - Accent6 9 2 2" xfId="15090" xr:uid="{10446565-3C7F-4430-9051-373C32110BFC}"/>
    <cellStyle name="40% - Accent6 9 2 3" xfId="23518" xr:uid="{32AC3C53-9C00-493E-B1FA-E9101BB3224F}"/>
    <cellStyle name="40% - Accent6 9 3" xfId="10872" xr:uid="{828CAFDD-0B20-4FEF-9E4C-9AEF44DBCA76}"/>
    <cellStyle name="40% - Accent6 9 4" xfId="19301" xr:uid="{E234F251-EAF3-401B-8914-B296319A73C1}"/>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15" xr:uid="{C0222D34-4EF4-41B7-A8DD-2FA8599BE8B2}"/>
    <cellStyle name="Comma 4 2 2 2 10 2 3" xfId="23843" xr:uid="{9CB11215-04D0-4435-8305-423C8D4D6A49}"/>
    <cellStyle name="Comma 4 2 2 2 10 3" xfId="11197" xr:uid="{EB2E7A88-3ABA-4962-97DA-9A353949664D}"/>
    <cellStyle name="Comma 4 2 2 2 10 4" xfId="19626" xr:uid="{84B656D6-36DE-428E-BAF7-51DCE379B83E}"/>
    <cellStyle name="Comma 4 2 2 2 11" xfId="4603" xr:uid="{00000000-0005-0000-0000-0000A3070000}"/>
    <cellStyle name="Comma 4 2 2 2 11 2" xfId="13032" xr:uid="{3A148206-DE7A-4230-AB8A-2C48C6BBD827}"/>
    <cellStyle name="Comma 4 2 2 2 11 3" xfId="21460" xr:uid="{9864A609-414B-455B-8CA6-4BAD7EA082A4}"/>
    <cellStyle name="Comma 4 2 2 2 12" xfId="8814" xr:uid="{C391E168-C36C-45C5-A174-369CC0B09305}"/>
    <cellStyle name="Comma 4 2 2 2 13" xfId="17243" xr:uid="{9784E73C-90EE-4C25-BCC4-93F31A0E5703}"/>
    <cellStyle name="Comma 4 2 2 2 2" xfId="129" xr:uid="{00000000-0005-0000-0000-0000A4070000}"/>
    <cellStyle name="Comma 4 2 2 2 2 10" xfId="4604" xr:uid="{00000000-0005-0000-0000-0000A5070000}"/>
    <cellStyle name="Comma 4 2 2 2 2 10 2" xfId="13033" xr:uid="{4CB74D53-9066-436E-9DD8-D493F004F43E}"/>
    <cellStyle name="Comma 4 2 2 2 2 10 3" xfId="21461" xr:uid="{4309A4D8-D2A4-4CBA-99EB-D3AAE0D4D3C3}"/>
    <cellStyle name="Comma 4 2 2 2 2 11" xfId="8815" xr:uid="{CE8F7713-D940-4B29-AAB8-55BDE6468AFE}"/>
    <cellStyle name="Comma 4 2 2 2 2 12" xfId="17244" xr:uid="{007648D1-2BAB-4C7F-89EA-2AF3104DD5F7}"/>
    <cellStyle name="Comma 4 2 2 2 2 2" xfId="130" xr:uid="{00000000-0005-0000-0000-0000A6070000}"/>
    <cellStyle name="Comma 4 2 2 2 2 2 10" xfId="8816" xr:uid="{59E37CFE-6C39-4CCC-9552-C6A23265FB7D}"/>
    <cellStyle name="Comma 4 2 2 2 2 2 11" xfId="17245" xr:uid="{6127DBFF-7EBE-4188-ABAC-B193BD76B5C6}"/>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93" xr:uid="{36BE2FDC-EC08-4AEF-BB46-93D1DB44165B}"/>
    <cellStyle name="Comma 4 2 2 2 2 2 2 2 2 3" xfId="24021" xr:uid="{9495F8C7-7EE2-453A-BF29-F53E91C06EDF}"/>
    <cellStyle name="Comma 4 2 2 2 2 2 2 2 3" xfId="11375" xr:uid="{4B17269C-A94C-4E0F-AB97-EBF0B1ADE2F9}"/>
    <cellStyle name="Comma 4 2 2 2 2 2 2 2 4" xfId="19804" xr:uid="{50635B89-4725-4BF6-9AEB-2CCE7E259F99}"/>
    <cellStyle name="Comma 4 2 2 2 2 2 2 3" xfId="5019" xr:uid="{00000000-0005-0000-0000-0000AA070000}"/>
    <cellStyle name="Comma 4 2 2 2 2 2 2 3 2" xfId="13448" xr:uid="{BFF39CF3-709D-4B6B-BBE5-EC51325DA817}"/>
    <cellStyle name="Comma 4 2 2 2 2 2 2 3 3" xfId="21876" xr:uid="{901988D6-C81D-4D78-8D01-BDCCDC49C9E9}"/>
    <cellStyle name="Comma 4 2 2 2 2 2 2 4" xfId="9230" xr:uid="{12A9E282-80B8-4AEB-B8CC-44CE3D26EF8B}"/>
    <cellStyle name="Comma 4 2 2 2 2 2 2 5" xfId="17659" xr:uid="{8B928EF8-2936-4D9E-87F8-519DF5EA161E}"/>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6006" xr:uid="{F82007CC-A943-4906-A7FA-C9A6FFBA5E56}"/>
    <cellStyle name="Comma 4 2 2 2 2 2 3 2 2 3" xfId="24434" xr:uid="{DD24214E-609D-4F6F-8B09-327220E2617F}"/>
    <cellStyle name="Comma 4 2 2 2 2 2 3 2 3" xfId="11788" xr:uid="{0E2C976F-1C28-43C7-B3CB-8DD7F7A54A62}"/>
    <cellStyle name="Comma 4 2 2 2 2 2 3 2 4" xfId="20217" xr:uid="{96F771E2-AFC6-427E-B150-3A603A43072B}"/>
    <cellStyle name="Comma 4 2 2 2 2 2 3 3" xfId="5432" xr:uid="{00000000-0005-0000-0000-0000AE070000}"/>
    <cellStyle name="Comma 4 2 2 2 2 2 3 3 2" xfId="13861" xr:uid="{172CB007-B7BB-405E-9924-61C7EE325D2A}"/>
    <cellStyle name="Comma 4 2 2 2 2 2 3 3 3" xfId="22289" xr:uid="{9C9AC3FE-925A-49F5-A77E-05883DC6FDC1}"/>
    <cellStyle name="Comma 4 2 2 2 2 2 3 4" xfId="9643" xr:uid="{7EAF15E9-1292-45A8-BE61-F2AC2774A97A}"/>
    <cellStyle name="Comma 4 2 2 2 2 2 3 5" xfId="18072" xr:uid="{AF29D610-9760-4BFF-A472-41E9C62AACAD}"/>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9" xr:uid="{DD06B466-46A2-49EA-8C4C-37E46BD7FFE3}"/>
    <cellStyle name="Comma 4 2 2 2 2 2 4 2 2 3" xfId="24847" xr:uid="{6A2458FB-52C1-44A7-878B-D2A808F0348A}"/>
    <cellStyle name="Comma 4 2 2 2 2 2 4 2 3" xfId="12201" xr:uid="{53E768F2-1F70-4D17-B698-8F05C0C48327}"/>
    <cellStyle name="Comma 4 2 2 2 2 2 4 2 4" xfId="20630" xr:uid="{E4E1237D-2960-411B-836B-657578B509F3}"/>
    <cellStyle name="Comma 4 2 2 2 2 2 4 3" xfId="5845" xr:uid="{00000000-0005-0000-0000-0000B2070000}"/>
    <cellStyle name="Comma 4 2 2 2 2 2 4 3 2" xfId="14274" xr:uid="{DAC02AAD-E441-4940-A6C4-E84C21C9E82E}"/>
    <cellStyle name="Comma 4 2 2 2 2 2 4 3 3" xfId="22702" xr:uid="{9C2E277F-1E2E-434F-8533-64EF7AC2EAEF}"/>
    <cellStyle name="Comma 4 2 2 2 2 2 4 4" xfId="10056" xr:uid="{621C8C45-9D45-4504-8569-EF1DC7939FCB}"/>
    <cellStyle name="Comma 4 2 2 2 2 2 4 5" xfId="18485" xr:uid="{BABCA796-F632-4389-9C6E-F70B7110D1B1}"/>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32" xr:uid="{78B01364-184A-4FFE-8773-6BB5CF2EBD00}"/>
    <cellStyle name="Comma 4 2 2 2 2 2 5 2 2 3" xfId="25260" xr:uid="{8BAEF913-6DFA-413B-8DCC-965A7C66D9DC}"/>
    <cellStyle name="Comma 4 2 2 2 2 2 5 2 3" xfId="12614" xr:uid="{C0BC9552-C031-406A-8DB3-D14D647F1F54}"/>
    <cellStyle name="Comma 4 2 2 2 2 2 5 2 4" xfId="21043" xr:uid="{F5E0F342-668B-4316-B326-B7D4BAC63598}"/>
    <cellStyle name="Comma 4 2 2 2 2 2 5 3" xfId="6258" xr:uid="{00000000-0005-0000-0000-0000B6070000}"/>
    <cellStyle name="Comma 4 2 2 2 2 2 5 3 2" xfId="14687" xr:uid="{A7E65349-830A-4C9C-A51C-A4E0C193AE75}"/>
    <cellStyle name="Comma 4 2 2 2 2 2 5 3 3" xfId="23115" xr:uid="{19FEC55D-212B-4C07-952A-6A2FA0A4A330}"/>
    <cellStyle name="Comma 4 2 2 2 2 2 5 4" xfId="10469" xr:uid="{94607D6C-05BE-471C-AE13-A282AB5DAA12}"/>
    <cellStyle name="Comma 4 2 2 2 2 2 5 5" xfId="18898" xr:uid="{19EB55AA-BA16-4194-A4AE-93D7FCA49AD6}"/>
    <cellStyle name="Comma 4 2 2 2 2 2 6" xfId="2385" xr:uid="{00000000-0005-0000-0000-0000B7070000}"/>
    <cellStyle name="Comma 4 2 2 2 2 2 6 2" xfId="6671" xr:uid="{00000000-0005-0000-0000-0000B8070000}"/>
    <cellStyle name="Comma 4 2 2 2 2 2 6 2 2" xfId="15100" xr:uid="{BC66C13F-405A-4C7B-B15B-75E6216FC8CC}"/>
    <cellStyle name="Comma 4 2 2 2 2 2 6 2 3" xfId="23528" xr:uid="{C9307B91-150A-4DD1-AEA2-CB7E5129BC31}"/>
    <cellStyle name="Comma 4 2 2 2 2 2 6 3" xfId="10882" xr:uid="{87C65260-D5F9-468C-8E16-DA48B8C59FAC}"/>
    <cellStyle name="Comma 4 2 2 2 2 2 6 4" xfId="19311" xr:uid="{30A2FAB8-3397-4E14-AF57-B02087519F04}"/>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7" xr:uid="{B2FAF494-F585-4F23-9C07-0F3EF955AECC}"/>
    <cellStyle name="Comma 4 2 2 2 2 2 8 2 3" xfId="23845" xr:uid="{71C6579A-C7CB-4A56-A848-795C8FB5D1FE}"/>
    <cellStyle name="Comma 4 2 2 2 2 2 8 3" xfId="11199" xr:uid="{75E6BA85-FA5D-455F-9704-C935ABA1A276}"/>
    <cellStyle name="Comma 4 2 2 2 2 2 8 4" xfId="19628" xr:uid="{D7D15341-7008-4BFF-AF56-77EACDD86D0D}"/>
    <cellStyle name="Comma 4 2 2 2 2 2 9" xfId="4605" xr:uid="{00000000-0005-0000-0000-0000BC070000}"/>
    <cellStyle name="Comma 4 2 2 2 2 2 9 2" xfId="13034" xr:uid="{B167B656-8694-4081-BEDC-587D4E9B0E22}"/>
    <cellStyle name="Comma 4 2 2 2 2 2 9 3" xfId="21462" xr:uid="{A74412EA-00DA-43A4-891F-C03BD404362B}"/>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92" xr:uid="{6A1EF59B-6539-4D18-B450-1F5A0E2EDCCB}"/>
    <cellStyle name="Comma 4 2 2 2 2 3 2 2 3" xfId="24020" xr:uid="{DC689F33-06A3-4304-AC61-A1A10D3BEDA5}"/>
    <cellStyle name="Comma 4 2 2 2 2 3 2 3" xfId="11374" xr:uid="{D83E7AD7-8962-4810-97A2-D39BB65DB753}"/>
    <cellStyle name="Comma 4 2 2 2 2 3 2 4" xfId="19803" xr:uid="{5837C361-5305-477F-8CE4-39C01ED858BD}"/>
    <cellStyle name="Comma 4 2 2 2 2 3 3" xfId="5018" xr:uid="{00000000-0005-0000-0000-0000C0070000}"/>
    <cellStyle name="Comma 4 2 2 2 2 3 3 2" xfId="13447" xr:uid="{9C1D6E1D-4746-4B51-929B-68C1A94059AD}"/>
    <cellStyle name="Comma 4 2 2 2 2 3 3 3" xfId="21875" xr:uid="{407ED1FE-EF11-4BB3-957E-536B44248790}"/>
    <cellStyle name="Comma 4 2 2 2 2 3 4" xfId="9229" xr:uid="{EDA17FF4-8E10-4F4A-9E4C-B3AD646189DB}"/>
    <cellStyle name="Comma 4 2 2 2 2 3 5" xfId="17658" xr:uid="{A1334052-151C-41DD-9545-E39ABA63DDC3}"/>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6005" xr:uid="{D1AC28A8-1808-4347-8FA3-B120431FA511}"/>
    <cellStyle name="Comma 4 2 2 2 2 4 2 2 3" xfId="24433" xr:uid="{3F8D5338-25B7-49AD-9EA2-EAED4A99B7B1}"/>
    <cellStyle name="Comma 4 2 2 2 2 4 2 3" xfId="11787" xr:uid="{28493D26-480B-4AF1-BCD4-3E0A9A7EFC03}"/>
    <cellStyle name="Comma 4 2 2 2 2 4 2 4" xfId="20216" xr:uid="{7053741A-2627-46FF-9EB3-84DD4809E01D}"/>
    <cellStyle name="Comma 4 2 2 2 2 4 3" xfId="5431" xr:uid="{00000000-0005-0000-0000-0000C4070000}"/>
    <cellStyle name="Comma 4 2 2 2 2 4 3 2" xfId="13860" xr:uid="{DA9C4740-7F2E-4E3F-89C1-DC40F2A073FB}"/>
    <cellStyle name="Comma 4 2 2 2 2 4 3 3" xfId="22288" xr:uid="{BD002E31-1C99-41C2-8468-BBD26921FDEF}"/>
    <cellStyle name="Comma 4 2 2 2 2 4 4" xfId="9642" xr:uid="{636D86C3-93A1-4CD1-905B-AF5F67E26924}"/>
    <cellStyle name="Comma 4 2 2 2 2 4 5" xfId="18071" xr:uid="{F485793B-C01F-4B62-ABAB-AC9240931CEA}"/>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8" xr:uid="{FFB09921-F6B9-482F-B98F-3C5AE9DBFCAC}"/>
    <cellStyle name="Comma 4 2 2 2 2 5 2 2 3" xfId="24846" xr:uid="{B04AE43A-79C1-4F15-8500-8546BE2F84EA}"/>
    <cellStyle name="Comma 4 2 2 2 2 5 2 3" xfId="12200" xr:uid="{6F783025-E84A-415E-87DD-8EF6D04DD832}"/>
    <cellStyle name="Comma 4 2 2 2 2 5 2 4" xfId="20629" xr:uid="{D8734CFB-4411-4475-8720-979AFDECA137}"/>
    <cellStyle name="Comma 4 2 2 2 2 5 3" xfId="5844" xr:uid="{00000000-0005-0000-0000-0000C8070000}"/>
    <cellStyle name="Comma 4 2 2 2 2 5 3 2" xfId="14273" xr:uid="{E73137B9-E955-4CF9-AD32-DD3F11855A80}"/>
    <cellStyle name="Comma 4 2 2 2 2 5 3 3" xfId="22701" xr:uid="{AA017872-CB6A-4152-8012-10184257D63E}"/>
    <cellStyle name="Comma 4 2 2 2 2 5 4" xfId="10055" xr:uid="{8EA7833D-8926-423A-9C97-46F1E4462A18}"/>
    <cellStyle name="Comma 4 2 2 2 2 5 5" xfId="18484" xr:uid="{88AB0407-2F9E-43DA-8477-7A8A6D2CFBFE}"/>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31" xr:uid="{9C90862A-F400-43EF-9E38-BD0E67FB517A}"/>
    <cellStyle name="Comma 4 2 2 2 2 6 2 2 3" xfId="25259" xr:uid="{3093678A-B200-488D-8DD1-12FF37555CD2}"/>
    <cellStyle name="Comma 4 2 2 2 2 6 2 3" xfId="12613" xr:uid="{3B296E38-796A-430D-B4B6-4C1091EC1E61}"/>
    <cellStyle name="Comma 4 2 2 2 2 6 2 4" xfId="21042" xr:uid="{8E49BF5C-1392-4C6D-B0D0-BBBF1E86A2BF}"/>
    <cellStyle name="Comma 4 2 2 2 2 6 3" xfId="6257" xr:uid="{00000000-0005-0000-0000-0000CC070000}"/>
    <cellStyle name="Comma 4 2 2 2 2 6 3 2" xfId="14686" xr:uid="{C458E336-94AB-4DD8-901F-54B498F62387}"/>
    <cellStyle name="Comma 4 2 2 2 2 6 3 3" xfId="23114" xr:uid="{D74D23BF-4C81-4F94-8654-3AC595031D58}"/>
    <cellStyle name="Comma 4 2 2 2 2 6 4" xfId="10468" xr:uid="{EDAE9E57-8048-49DF-96BF-1319734277CF}"/>
    <cellStyle name="Comma 4 2 2 2 2 6 5" xfId="18897" xr:uid="{7DB11F4D-D275-4697-ADA4-08786250844B}"/>
    <cellStyle name="Comma 4 2 2 2 2 7" xfId="2384" xr:uid="{00000000-0005-0000-0000-0000CD070000}"/>
    <cellStyle name="Comma 4 2 2 2 2 7 2" xfId="6670" xr:uid="{00000000-0005-0000-0000-0000CE070000}"/>
    <cellStyle name="Comma 4 2 2 2 2 7 2 2" xfId="15099" xr:uid="{8BEBC226-4256-4A56-A74E-35B5A0801199}"/>
    <cellStyle name="Comma 4 2 2 2 2 7 2 3" xfId="23527" xr:uid="{55207F6F-E9D0-451E-98DB-0244AF06078B}"/>
    <cellStyle name="Comma 4 2 2 2 2 7 3" xfId="10881" xr:uid="{F83569E3-5143-48B5-826E-66BB43BA3F1B}"/>
    <cellStyle name="Comma 4 2 2 2 2 7 4" xfId="19310" xr:uid="{151888BC-E7F2-4848-B6F3-216E2BBDFBEF}"/>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16" xr:uid="{E15BBF7C-1608-47F8-AE05-957B77FAF9C3}"/>
    <cellStyle name="Comma 4 2 2 2 2 9 2 3" xfId="23844" xr:uid="{0D102CA7-E671-4F42-8E38-F8FC9F4A57D9}"/>
    <cellStyle name="Comma 4 2 2 2 2 9 3" xfId="11198" xr:uid="{8AFCC89D-E05C-4712-83EF-409D7344EA90}"/>
    <cellStyle name="Comma 4 2 2 2 2 9 4" xfId="19627" xr:uid="{39185900-33BE-41EA-89BB-0CEEB8619FE9}"/>
    <cellStyle name="Comma 4 2 2 2 3" xfId="131" xr:uid="{00000000-0005-0000-0000-0000D2070000}"/>
    <cellStyle name="Comma 4 2 2 2 3 10" xfId="8817" xr:uid="{0BA0CE41-E309-4F1A-8896-647D658FB9E9}"/>
    <cellStyle name="Comma 4 2 2 2 3 11" xfId="17246" xr:uid="{7542CD33-5EB9-4D69-941C-EA7993CA0F20}"/>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94" xr:uid="{96DC4551-77A8-46D1-9B02-D625296F2E53}"/>
    <cellStyle name="Comma 4 2 2 2 3 2 2 2 3" xfId="24022" xr:uid="{003D64EC-BC06-4E85-B700-74F460226DA5}"/>
    <cellStyle name="Comma 4 2 2 2 3 2 2 3" xfId="11376" xr:uid="{857B54D0-FF63-49AD-9F4C-22978AAED5B6}"/>
    <cellStyle name="Comma 4 2 2 2 3 2 2 4" xfId="19805" xr:uid="{677935E2-04AC-48D3-8C4A-EC488370ADB5}"/>
    <cellStyle name="Comma 4 2 2 2 3 2 3" xfId="5020" xr:uid="{00000000-0005-0000-0000-0000D6070000}"/>
    <cellStyle name="Comma 4 2 2 2 3 2 3 2" xfId="13449" xr:uid="{BCDDE144-A0EC-46C7-BA01-D78C811EBD0B}"/>
    <cellStyle name="Comma 4 2 2 2 3 2 3 3" xfId="21877" xr:uid="{0A195BAB-E5E1-459A-9028-8CFE9D8FF56A}"/>
    <cellStyle name="Comma 4 2 2 2 3 2 4" xfId="9231" xr:uid="{DCD682E7-F6B6-4691-A766-066D625ED619}"/>
    <cellStyle name="Comma 4 2 2 2 3 2 5" xfId="17660" xr:uid="{0457B04E-3CED-4BB0-A28A-6BF33CC3BD7A}"/>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7" xr:uid="{A87DEFE8-3AD2-46B5-9F28-5A95466F3C7A}"/>
    <cellStyle name="Comma 4 2 2 2 3 3 2 2 3" xfId="24435" xr:uid="{4005CFA6-AB2D-4B1F-9D0F-33766CCCC704}"/>
    <cellStyle name="Comma 4 2 2 2 3 3 2 3" xfId="11789" xr:uid="{34ED9578-D191-4275-801F-D3EB675D8F97}"/>
    <cellStyle name="Comma 4 2 2 2 3 3 2 4" xfId="20218" xr:uid="{C87A93EE-5FB3-4AA3-A987-F33C1AD4574C}"/>
    <cellStyle name="Comma 4 2 2 2 3 3 3" xfId="5433" xr:uid="{00000000-0005-0000-0000-0000DA070000}"/>
    <cellStyle name="Comma 4 2 2 2 3 3 3 2" xfId="13862" xr:uid="{3DE6AD5C-8323-463D-90EC-3132063A5C54}"/>
    <cellStyle name="Comma 4 2 2 2 3 3 3 3" xfId="22290" xr:uid="{A18E8CE8-6F7C-4BDA-9BB0-322554F364B9}"/>
    <cellStyle name="Comma 4 2 2 2 3 3 4" xfId="9644" xr:uid="{1578E759-5607-4D8A-B3EB-CC9DC10F732F}"/>
    <cellStyle name="Comma 4 2 2 2 3 3 5" xfId="18073" xr:uid="{289FE10B-BE73-43F0-ADF5-C56F551754D1}"/>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20" xr:uid="{FB55094D-37EC-44FB-9893-1024E2D3735D}"/>
    <cellStyle name="Comma 4 2 2 2 3 4 2 2 3" xfId="24848" xr:uid="{6BC6C7C5-C077-449B-B8D9-11D184929B01}"/>
    <cellStyle name="Comma 4 2 2 2 3 4 2 3" xfId="12202" xr:uid="{B5725BEC-E39D-4912-864F-D080D8A3EA77}"/>
    <cellStyle name="Comma 4 2 2 2 3 4 2 4" xfId="20631" xr:uid="{08C20594-EAD8-4648-BE5D-F0BE20467822}"/>
    <cellStyle name="Comma 4 2 2 2 3 4 3" xfId="5846" xr:uid="{00000000-0005-0000-0000-0000DE070000}"/>
    <cellStyle name="Comma 4 2 2 2 3 4 3 2" xfId="14275" xr:uid="{381DCC88-C781-4F6B-938B-27D679770178}"/>
    <cellStyle name="Comma 4 2 2 2 3 4 3 3" xfId="22703" xr:uid="{69EF7FE4-939D-40FB-8F37-806A3040596F}"/>
    <cellStyle name="Comma 4 2 2 2 3 4 4" xfId="10057" xr:uid="{827EC2DE-DBAE-480A-A502-016184C4F3CA}"/>
    <cellStyle name="Comma 4 2 2 2 3 4 5" xfId="18486" xr:uid="{131914BC-26F7-4655-B987-CA499F0C05FC}"/>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33" xr:uid="{181160DA-0DC5-45D0-AF4A-299CF9904445}"/>
    <cellStyle name="Comma 4 2 2 2 3 5 2 2 3" xfId="25261" xr:uid="{CF3E6C37-D388-417B-AE0E-B9C214804B41}"/>
    <cellStyle name="Comma 4 2 2 2 3 5 2 3" xfId="12615" xr:uid="{BB3B4FCB-62F2-4077-A4EF-A3F8B990F4E1}"/>
    <cellStyle name="Comma 4 2 2 2 3 5 2 4" xfId="21044" xr:uid="{0B84F754-7B49-4635-B68B-2E700A0B05FC}"/>
    <cellStyle name="Comma 4 2 2 2 3 5 3" xfId="6259" xr:uid="{00000000-0005-0000-0000-0000E2070000}"/>
    <cellStyle name="Comma 4 2 2 2 3 5 3 2" xfId="14688" xr:uid="{F87C2A15-FB0E-40E7-9E97-A77789486709}"/>
    <cellStyle name="Comma 4 2 2 2 3 5 3 3" xfId="23116" xr:uid="{97653DED-A0A7-4683-A26D-25D3E623211A}"/>
    <cellStyle name="Comma 4 2 2 2 3 5 4" xfId="10470" xr:uid="{D9F09DD0-5905-43DF-A5FC-D5A0A57375A7}"/>
    <cellStyle name="Comma 4 2 2 2 3 5 5" xfId="18899" xr:uid="{118939FF-38CC-460E-8498-1AA0801AC037}"/>
    <cellStyle name="Comma 4 2 2 2 3 6" xfId="2386" xr:uid="{00000000-0005-0000-0000-0000E3070000}"/>
    <cellStyle name="Comma 4 2 2 2 3 6 2" xfId="6672" xr:uid="{00000000-0005-0000-0000-0000E4070000}"/>
    <cellStyle name="Comma 4 2 2 2 3 6 2 2" xfId="15101" xr:uid="{61D4B631-ACF5-46F8-BDE9-6B454A60E061}"/>
    <cellStyle name="Comma 4 2 2 2 3 6 2 3" xfId="23529" xr:uid="{B34DD0A1-8067-492F-A495-0B6A70D19F57}"/>
    <cellStyle name="Comma 4 2 2 2 3 6 3" xfId="10883" xr:uid="{FCFA98D4-951B-4099-BD35-8D1C67799559}"/>
    <cellStyle name="Comma 4 2 2 2 3 6 4" xfId="19312" xr:uid="{9BF2A02A-E60D-4B9A-9AB0-400963454326}"/>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8" xr:uid="{04969088-9AA8-4A3C-8C38-38706F6844F3}"/>
    <cellStyle name="Comma 4 2 2 2 3 8 2 3" xfId="23846" xr:uid="{BFEA8575-A0E6-44B0-B24B-5228A3DB333C}"/>
    <cellStyle name="Comma 4 2 2 2 3 8 3" xfId="11200" xr:uid="{8CF94D08-2EB4-40D4-A87D-8AF7348F09D8}"/>
    <cellStyle name="Comma 4 2 2 2 3 8 4" xfId="19629" xr:uid="{FB35182D-DC2D-4CE5-BFAD-AA7126C6BF1B}"/>
    <cellStyle name="Comma 4 2 2 2 3 9" xfId="4606" xr:uid="{00000000-0005-0000-0000-0000E8070000}"/>
    <cellStyle name="Comma 4 2 2 2 3 9 2" xfId="13035" xr:uid="{EFA84F79-CFB0-4D5F-AFCA-17A2FC1A4333}"/>
    <cellStyle name="Comma 4 2 2 2 3 9 3" xfId="21463" xr:uid="{0F8A36CB-89DF-4259-9E6C-6FBFCD6BCA23}"/>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91" xr:uid="{043EB86E-34A5-4598-925F-21E5E1E37A5D}"/>
    <cellStyle name="Comma 4 2 2 2 4 2 2 3" xfId="24019" xr:uid="{FF863E4F-E8FE-43AC-A2FD-93241E08C95E}"/>
    <cellStyle name="Comma 4 2 2 2 4 2 3" xfId="11373" xr:uid="{737AB126-5F82-455C-8DE8-82922403F1B0}"/>
    <cellStyle name="Comma 4 2 2 2 4 2 4" xfId="19802" xr:uid="{0EF9A042-2014-4B6B-898A-294809F29B35}"/>
    <cellStyle name="Comma 4 2 2 2 4 3" xfId="5017" xr:uid="{00000000-0005-0000-0000-0000EC070000}"/>
    <cellStyle name="Comma 4 2 2 2 4 3 2" xfId="13446" xr:uid="{AEC65DAA-C7E1-436B-BACA-820D3100EF98}"/>
    <cellStyle name="Comma 4 2 2 2 4 3 3" xfId="21874" xr:uid="{709A0082-40DB-47A3-A8E7-AC988ACD295C}"/>
    <cellStyle name="Comma 4 2 2 2 4 4" xfId="9228" xr:uid="{37F71570-E7FD-4188-951A-4E7DF935914F}"/>
    <cellStyle name="Comma 4 2 2 2 4 5" xfId="17657" xr:uid="{20620ADA-A46B-41ED-B1E7-929BFBF82462}"/>
    <cellStyle name="Comma 4 2 2 2 5" xfId="1120" xr:uid="{00000000-0005-0000-0000-0000ED070000}"/>
    <cellStyle name="Comma 4 2 2 2 5 2" xfId="3351" xr:uid="{00000000-0005-0000-0000-0000EE070000}"/>
    <cellStyle name="Comma 4 2 2 2 5 2 2" xfId="7575" xr:uid="{00000000-0005-0000-0000-0000EF070000}"/>
    <cellStyle name="Comma 4 2 2 2 5 2 2 2" xfId="16004" xr:uid="{13BB8574-C2D5-4DD4-AD9E-37F8AECECA1C}"/>
    <cellStyle name="Comma 4 2 2 2 5 2 2 3" xfId="24432" xr:uid="{44CA10F5-CCBD-4192-BCCC-460D4F31D7E1}"/>
    <cellStyle name="Comma 4 2 2 2 5 2 3" xfId="11786" xr:uid="{612B2F19-C49C-4219-A47F-18F744FAADC8}"/>
    <cellStyle name="Comma 4 2 2 2 5 2 4" xfId="20215" xr:uid="{E8ECB154-9793-4E51-B93E-0093B4CF7F48}"/>
    <cellStyle name="Comma 4 2 2 2 5 3" xfId="5430" xr:uid="{00000000-0005-0000-0000-0000F0070000}"/>
    <cellStyle name="Comma 4 2 2 2 5 3 2" xfId="13859" xr:uid="{97C2DACA-F25B-4AD3-A930-15F9C7A33DCA}"/>
    <cellStyle name="Comma 4 2 2 2 5 3 3" xfId="22287" xr:uid="{C51016E3-F7F2-42DF-A92F-9A0FBF53614A}"/>
    <cellStyle name="Comma 4 2 2 2 5 4" xfId="9641" xr:uid="{EBB5066F-7C54-4D05-AAE3-D74DEDAB624C}"/>
    <cellStyle name="Comma 4 2 2 2 5 5" xfId="18070" xr:uid="{82D0A142-A008-4B10-93DE-D600E43B874C}"/>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7" xr:uid="{868DFC91-A4AE-42F8-987C-AC5F09B05C42}"/>
    <cellStyle name="Comma 4 2 2 2 6 2 2 3" xfId="24845" xr:uid="{5F4E0867-A8DA-44CA-AAE3-882B87B6A171}"/>
    <cellStyle name="Comma 4 2 2 2 6 2 3" xfId="12199" xr:uid="{C8B98DB2-654E-4B09-B9F9-AE0CD7036E21}"/>
    <cellStyle name="Comma 4 2 2 2 6 2 4" xfId="20628" xr:uid="{807FD4F7-642A-4061-95BA-5C158CC0EDBC}"/>
    <cellStyle name="Comma 4 2 2 2 6 3" xfId="5843" xr:uid="{00000000-0005-0000-0000-0000F4070000}"/>
    <cellStyle name="Comma 4 2 2 2 6 3 2" xfId="14272" xr:uid="{80F96BA4-D287-470C-9E66-9C28DE164B6A}"/>
    <cellStyle name="Comma 4 2 2 2 6 3 3" xfId="22700" xr:uid="{8F83F378-E1D1-45E5-8D73-DAD3545C0AAC}"/>
    <cellStyle name="Comma 4 2 2 2 6 4" xfId="10054" xr:uid="{3C79156F-AFF5-476D-B261-0838B7C15362}"/>
    <cellStyle name="Comma 4 2 2 2 6 5" xfId="18483" xr:uid="{1F7D7BC2-A47E-4EA9-A8C8-73046F0DDC47}"/>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30" xr:uid="{1B9C9EDC-E693-4861-9CA0-609FE7B7CA2D}"/>
    <cellStyle name="Comma 4 2 2 2 7 2 2 3" xfId="25258" xr:uid="{98A4A076-5B29-4EAB-BBFD-845D5088A0AB}"/>
    <cellStyle name="Comma 4 2 2 2 7 2 3" xfId="12612" xr:uid="{7AEE8BD4-DFB2-4FD8-955A-358221D9472A}"/>
    <cellStyle name="Comma 4 2 2 2 7 2 4" xfId="21041" xr:uid="{FBC41148-5D63-470F-AE6F-CF876155F17A}"/>
    <cellStyle name="Comma 4 2 2 2 7 3" xfId="6256" xr:uid="{00000000-0005-0000-0000-0000F8070000}"/>
    <cellStyle name="Comma 4 2 2 2 7 3 2" xfId="14685" xr:uid="{78740BF0-1146-485E-BA9D-ADB571442A03}"/>
    <cellStyle name="Comma 4 2 2 2 7 3 3" xfId="23113" xr:uid="{0AC0C32B-E0F0-438B-8E35-C265DDEE43AD}"/>
    <cellStyle name="Comma 4 2 2 2 7 4" xfId="10467" xr:uid="{59B9C0DA-4861-4C7B-B4F8-86E062A8FB9D}"/>
    <cellStyle name="Comma 4 2 2 2 7 5" xfId="18896" xr:uid="{0290E820-E044-4C2D-84FB-B23FDFD43068}"/>
    <cellStyle name="Comma 4 2 2 2 8" xfId="2383" xr:uid="{00000000-0005-0000-0000-0000F9070000}"/>
    <cellStyle name="Comma 4 2 2 2 8 2" xfId="6669" xr:uid="{00000000-0005-0000-0000-0000FA070000}"/>
    <cellStyle name="Comma 4 2 2 2 8 2 2" xfId="15098" xr:uid="{98BF9792-2E64-47CF-BE2B-2682EF9C288D}"/>
    <cellStyle name="Comma 4 2 2 2 8 2 3" xfId="23526" xr:uid="{A6BAF9B2-9C5D-479B-B0DA-FB28CDAE9A8B}"/>
    <cellStyle name="Comma 4 2 2 2 8 3" xfId="10880" xr:uid="{E0CE6825-F88C-45D9-A125-F9D5D7630672}"/>
    <cellStyle name="Comma 4 2 2 2 8 4" xfId="19309" xr:uid="{8D5E7D29-453E-47CE-B28E-46DF93AE323D}"/>
    <cellStyle name="Comma 4 2 2 2 9" xfId="2382" xr:uid="{00000000-0005-0000-0000-0000FB070000}"/>
    <cellStyle name="Comma 4 2 2 3" xfId="132" xr:uid="{00000000-0005-0000-0000-0000FC070000}"/>
    <cellStyle name="Comma 4 2 2 3 10" xfId="4607" xr:uid="{00000000-0005-0000-0000-0000FD070000}"/>
    <cellStyle name="Comma 4 2 2 3 10 2" xfId="13036" xr:uid="{1A40646A-CCEE-4A23-854C-942D96CAACA2}"/>
    <cellStyle name="Comma 4 2 2 3 10 3" xfId="21464" xr:uid="{58C343AE-8E22-42FE-B6C3-44FADD501F24}"/>
    <cellStyle name="Comma 4 2 2 3 11" xfId="8818" xr:uid="{F8022EC4-AB69-469F-AC39-ACC01F73C966}"/>
    <cellStyle name="Comma 4 2 2 3 12" xfId="17247" xr:uid="{8672F32F-7A4E-4626-B832-545701DAE861}"/>
    <cellStyle name="Comma 4 2 2 3 2" xfId="133" xr:uid="{00000000-0005-0000-0000-0000FE070000}"/>
    <cellStyle name="Comma 4 2 2 3 2 10" xfId="8819" xr:uid="{504B02D0-0FC8-46A2-9943-08BB93EFF119}"/>
    <cellStyle name="Comma 4 2 2 3 2 11" xfId="17248" xr:uid="{F6EF5543-58BC-48ED-BE22-3150B7CE2BCE}"/>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96" xr:uid="{00E7339A-4125-4A26-8527-234A5E39B05B}"/>
    <cellStyle name="Comma 4 2 2 3 2 2 2 2 3" xfId="24024" xr:uid="{0FC68707-7792-4BD7-BEDC-7C28904E81E5}"/>
    <cellStyle name="Comma 4 2 2 3 2 2 2 3" xfId="11378" xr:uid="{3535280F-4E31-4035-9938-33D581A3CBE3}"/>
    <cellStyle name="Comma 4 2 2 3 2 2 2 4" xfId="19807" xr:uid="{D6A80F1D-9BB8-41B3-9CFE-B4694E6A82DD}"/>
    <cellStyle name="Comma 4 2 2 3 2 2 3" xfId="5022" xr:uid="{00000000-0005-0000-0000-000002080000}"/>
    <cellStyle name="Comma 4 2 2 3 2 2 3 2" xfId="13451" xr:uid="{C17E53FA-673A-458C-976B-45DD17DC9AC6}"/>
    <cellStyle name="Comma 4 2 2 3 2 2 3 3" xfId="21879" xr:uid="{56660A20-BD04-4AE7-A44B-1617551927D5}"/>
    <cellStyle name="Comma 4 2 2 3 2 2 4" xfId="9233" xr:uid="{29FB278D-A133-4119-B34C-C239D776E267}"/>
    <cellStyle name="Comma 4 2 2 3 2 2 5" xfId="17662" xr:uid="{45D7EB56-B488-4B12-A269-2E7BAFDB4A28}"/>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9" xr:uid="{FCE6688C-D6DD-4750-98BE-497B04D3BDED}"/>
    <cellStyle name="Comma 4 2 2 3 2 3 2 2 3" xfId="24437" xr:uid="{C6B51B51-D3B6-4E03-B014-A11673BC7584}"/>
    <cellStyle name="Comma 4 2 2 3 2 3 2 3" xfId="11791" xr:uid="{05FAC70A-7F20-4AE5-A9AB-8813C1BCEAAC}"/>
    <cellStyle name="Comma 4 2 2 3 2 3 2 4" xfId="20220" xr:uid="{1A6255BA-8565-4410-BDAF-563649D19DDE}"/>
    <cellStyle name="Comma 4 2 2 3 2 3 3" xfId="5435" xr:uid="{00000000-0005-0000-0000-000006080000}"/>
    <cellStyle name="Comma 4 2 2 3 2 3 3 2" xfId="13864" xr:uid="{1ACF8ECD-596B-4263-8FDA-86DCFA64CCFE}"/>
    <cellStyle name="Comma 4 2 2 3 2 3 3 3" xfId="22292" xr:uid="{5878D497-F040-41A6-9C5E-EC7137F5C504}"/>
    <cellStyle name="Comma 4 2 2 3 2 3 4" xfId="9646" xr:uid="{755D0E67-DAC8-4860-8EC0-ACEAC3826301}"/>
    <cellStyle name="Comma 4 2 2 3 2 3 5" xfId="18075" xr:uid="{AC9D2AA3-95A7-417F-9C4E-BC077EE49BD1}"/>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22" xr:uid="{73D5EB9B-31FA-46B7-9CCF-EAA92BD3C699}"/>
    <cellStyle name="Comma 4 2 2 3 2 4 2 2 3" xfId="24850" xr:uid="{569D8331-8569-495C-8587-FC021DABDE6F}"/>
    <cellStyle name="Comma 4 2 2 3 2 4 2 3" xfId="12204" xr:uid="{AE20895E-F692-4B13-9C24-0730287B3163}"/>
    <cellStyle name="Comma 4 2 2 3 2 4 2 4" xfId="20633" xr:uid="{AE05C7A5-0770-4AFB-A497-BDEBC574455C}"/>
    <cellStyle name="Comma 4 2 2 3 2 4 3" xfId="5848" xr:uid="{00000000-0005-0000-0000-00000A080000}"/>
    <cellStyle name="Comma 4 2 2 3 2 4 3 2" xfId="14277" xr:uid="{4C25BF40-5EF4-4A09-A421-ECA59547A351}"/>
    <cellStyle name="Comma 4 2 2 3 2 4 3 3" xfId="22705" xr:uid="{AA6AFB9D-E092-44E1-BE6B-0885E71427D2}"/>
    <cellStyle name="Comma 4 2 2 3 2 4 4" xfId="10059" xr:uid="{6D33EE17-8EBB-4115-8DE2-E85FDA3B37AB}"/>
    <cellStyle name="Comma 4 2 2 3 2 4 5" xfId="18488" xr:uid="{FCAA60B2-FB31-4EFC-AD47-ECC582104191}"/>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35" xr:uid="{DDAA3A07-F19E-4D09-A472-B057CDC49516}"/>
    <cellStyle name="Comma 4 2 2 3 2 5 2 2 3" xfId="25263" xr:uid="{CFF62CF8-02D3-4FC3-B6BE-63EBB3839DB5}"/>
    <cellStyle name="Comma 4 2 2 3 2 5 2 3" xfId="12617" xr:uid="{F80E0A20-6460-4DCD-A0EF-F4867EEE0AAA}"/>
    <cellStyle name="Comma 4 2 2 3 2 5 2 4" xfId="21046" xr:uid="{25C9E114-4577-4F62-8A65-E1C0213EEA2E}"/>
    <cellStyle name="Comma 4 2 2 3 2 5 3" xfId="6261" xr:uid="{00000000-0005-0000-0000-00000E080000}"/>
    <cellStyle name="Comma 4 2 2 3 2 5 3 2" xfId="14690" xr:uid="{1B58C0FE-8A30-486E-995C-92A6D94602E6}"/>
    <cellStyle name="Comma 4 2 2 3 2 5 3 3" xfId="23118" xr:uid="{10806934-DBE7-444C-BE2F-94AAF5F66319}"/>
    <cellStyle name="Comma 4 2 2 3 2 5 4" xfId="10472" xr:uid="{9D99555F-043F-4EC3-9C0C-13B71061F200}"/>
    <cellStyle name="Comma 4 2 2 3 2 5 5" xfId="18901" xr:uid="{0AEB823F-4E81-4895-81DC-B57D2C183DD8}"/>
    <cellStyle name="Comma 4 2 2 3 2 6" xfId="2388" xr:uid="{00000000-0005-0000-0000-00000F080000}"/>
    <cellStyle name="Comma 4 2 2 3 2 6 2" xfId="6674" xr:uid="{00000000-0005-0000-0000-000010080000}"/>
    <cellStyle name="Comma 4 2 2 3 2 6 2 2" xfId="15103" xr:uid="{31758B01-D7C2-4BBA-B44E-4F41E5AFC0F1}"/>
    <cellStyle name="Comma 4 2 2 3 2 6 2 3" xfId="23531" xr:uid="{144D7E4E-2DCE-46C0-A77E-752C54BF23ED}"/>
    <cellStyle name="Comma 4 2 2 3 2 6 3" xfId="10885" xr:uid="{69FF9ED9-7C92-4431-948C-55A449CCC658}"/>
    <cellStyle name="Comma 4 2 2 3 2 6 4" xfId="19314" xr:uid="{80FE442E-7266-4668-A84C-82A83262FE0F}"/>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20" xr:uid="{E8010280-275E-4101-AF59-CE09B444204E}"/>
    <cellStyle name="Comma 4 2 2 3 2 8 2 3" xfId="23848" xr:uid="{47542D5B-40B1-48A7-A402-82B4A67283AF}"/>
    <cellStyle name="Comma 4 2 2 3 2 8 3" xfId="11202" xr:uid="{DA1C2676-1FDD-4B64-A9C7-7801DAAB96EB}"/>
    <cellStyle name="Comma 4 2 2 3 2 8 4" xfId="19631" xr:uid="{270462F4-A6D7-4693-B586-B57B55CDD3A7}"/>
    <cellStyle name="Comma 4 2 2 3 2 9" xfId="4608" xr:uid="{00000000-0005-0000-0000-000014080000}"/>
    <cellStyle name="Comma 4 2 2 3 2 9 2" xfId="13037" xr:uid="{7A414247-31BA-4A5C-9C79-14B22D79275F}"/>
    <cellStyle name="Comma 4 2 2 3 2 9 3" xfId="21465" xr:uid="{B7DA1E80-8298-468A-86F4-8224D299AEB9}"/>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95" xr:uid="{9379644A-AF07-490F-9858-B6F872823370}"/>
    <cellStyle name="Comma 4 2 2 3 3 2 2 3" xfId="24023" xr:uid="{7E24DE2B-8522-4617-B39C-687D5934846B}"/>
    <cellStyle name="Comma 4 2 2 3 3 2 3" xfId="11377" xr:uid="{8EBF2F01-83B8-42B3-BA55-972B9B43E7F4}"/>
    <cellStyle name="Comma 4 2 2 3 3 2 4" xfId="19806" xr:uid="{7832E49F-5B4B-446A-8A6E-642B152219F1}"/>
    <cellStyle name="Comma 4 2 2 3 3 3" xfId="5021" xr:uid="{00000000-0005-0000-0000-000018080000}"/>
    <cellStyle name="Comma 4 2 2 3 3 3 2" xfId="13450" xr:uid="{F1A6205A-0951-4247-95DB-8F7BA33BA724}"/>
    <cellStyle name="Comma 4 2 2 3 3 3 3" xfId="21878" xr:uid="{D5218F86-7442-45B2-BD95-1A714CA4C66A}"/>
    <cellStyle name="Comma 4 2 2 3 3 4" xfId="9232" xr:uid="{85628324-5116-42AD-982A-5FDCBDF27213}"/>
    <cellStyle name="Comma 4 2 2 3 3 5" xfId="17661" xr:uid="{06DF059C-1DC7-424D-B663-25A9D72C7F8F}"/>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8" xr:uid="{2139CFC6-78D5-43F1-BE5D-A5F1016FF745}"/>
    <cellStyle name="Comma 4 2 2 3 4 2 2 3" xfId="24436" xr:uid="{196A3D8D-B5D3-48E5-B31A-E2AB76EBDCE1}"/>
    <cellStyle name="Comma 4 2 2 3 4 2 3" xfId="11790" xr:uid="{F83507E6-CDAD-4C0A-BB8B-F941363A0E24}"/>
    <cellStyle name="Comma 4 2 2 3 4 2 4" xfId="20219" xr:uid="{818EA5F5-967E-4130-AE5D-A938E2D2E2F0}"/>
    <cellStyle name="Comma 4 2 2 3 4 3" xfId="5434" xr:uid="{00000000-0005-0000-0000-00001C080000}"/>
    <cellStyle name="Comma 4 2 2 3 4 3 2" xfId="13863" xr:uid="{2B7AFFA7-BF0D-4452-B36C-F064698FB1DB}"/>
    <cellStyle name="Comma 4 2 2 3 4 3 3" xfId="22291" xr:uid="{8AC9A797-344C-4624-8916-2C8B30265B69}"/>
    <cellStyle name="Comma 4 2 2 3 4 4" xfId="9645" xr:uid="{1A5B89E7-2184-42A8-9F7B-69492271EA06}"/>
    <cellStyle name="Comma 4 2 2 3 4 5" xfId="18074" xr:uid="{788B1D0F-AD68-4614-9552-C3746931C0B4}"/>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21" xr:uid="{40614D37-17B0-4F98-9AAE-5780327C2A4C}"/>
    <cellStyle name="Comma 4 2 2 3 5 2 2 3" xfId="24849" xr:uid="{7EE2B8C6-2626-44F1-BF6E-D81B462805BD}"/>
    <cellStyle name="Comma 4 2 2 3 5 2 3" xfId="12203" xr:uid="{42D585EC-F861-4C1E-ADCB-6532FA5FB7F8}"/>
    <cellStyle name="Comma 4 2 2 3 5 2 4" xfId="20632" xr:uid="{53C9E37D-9D1E-46F1-8352-FCF89A6A2F70}"/>
    <cellStyle name="Comma 4 2 2 3 5 3" xfId="5847" xr:uid="{00000000-0005-0000-0000-000020080000}"/>
    <cellStyle name="Comma 4 2 2 3 5 3 2" xfId="14276" xr:uid="{E22F7578-7846-4579-947A-AE08D572C9D5}"/>
    <cellStyle name="Comma 4 2 2 3 5 3 3" xfId="22704" xr:uid="{B49BCC3D-3C75-4171-B351-51BD2CFD64E8}"/>
    <cellStyle name="Comma 4 2 2 3 5 4" xfId="10058" xr:uid="{8E9EC088-EC0A-482F-AC0F-E744F3F1D22C}"/>
    <cellStyle name="Comma 4 2 2 3 5 5" xfId="18487" xr:uid="{D778D202-C681-4BB8-B449-2B9DEA33297A}"/>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34" xr:uid="{8CCB4F74-E226-4093-BD0B-C4AE56441657}"/>
    <cellStyle name="Comma 4 2 2 3 6 2 2 3" xfId="25262" xr:uid="{D6CBCE86-906A-4A89-88D8-8FE16FAD717A}"/>
    <cellStyle name="Comma 4 2 2 3 6 2 3" xfId="12616" xr:uid="{CF63D718-8582-449C-B282-3B1795930D57}"/>
    <cellStyle name="Comma 4 2 2 3 6 2 4" xfId="21045" xr:uid="{F3CE7C67-605E-40B8-9454-D2C8332E9085}"/>
    <cellStyle name="Comma 4 2 2 3 6 3" xfId="6260" xr:uid="{00000000-0005-0000-0000-000024080000}"/>
    <cellStyle name="Comma 4 2 2 3 6 3 2" xfId="14689" xr:uid="{77136857-63B6-42C2-9102-A9CBC87F8BBA}"/>
    <cellStyle name="Comma 4 2 2 3 6 3 3" xfId="23117" xr:uid="{3038DF10-2FD7-40D7-834E-63660B9E937B}"/>
    <cellStyle name="Comma 4 2 2 3 6 4" xfId="10471" xr:uid="{76D9981A-D99F-4176-91FD-C98AC9D59AD4}"/>
    <cellStyle name="Comma 4 2 2 3 6 5" xfId="18900" xr:uid="{A128BC84-2703-4146-9FD2-87830189505A}"/>
    <cellStyle name="Comma 4 2 2 3 7" xfId="2387" xr:uid="{00000000-0005-0000-0000-000025080000}"/>
    <cellStyle name="Comma 4 2 2 3 7 2" xfId="6673" xr:uid="{00000000-0005-0000-0000-000026080000}"/>
    <cellStyle name="Comma 4 2 2 3 7 2 2" xfId="15102" xr:uid="{0B8D03F6-CD53-4DF3-A76F-C32C92BD8111}"/>
    <cellStyle name="Comma 4 2 2 3 7 2 3" xfId="23530" xr:uid="{74DA80E2-27F5-4141-9082-9444EE44CA50}"/>
    <cellStyle name="Comma 4 2 2 3 7 3" xfId="10884" xr:uid="{6A69BFF2-14C5-4ECB-A4D0-36226C5AB923}"/>
    <cellStyle name="Comma 4 2 2 3 7 4" xfId="19313" xr:uid="{DC701857-928B-487F-818C-3CFB1396963A}"/>
    <cellStyle name="Comma 4 2 2 3 8" xfId="2378" xr:uid="{00000000-0005-0000-0000-000027080000}"/>
    <cellStyle name="Comma 4 2 2 3 9" xfId="2765" xr:uid="{00000000-0005-0000-0000-000028080000}"/>
    <cellStyle name="Comma 4 2 2 3 9 2" xfId="6990" xr:uid="{00000000-0005-0000-0000-000029080000}"/>
    <cellStyle name="Comma 4 2 2 3 9 2 2" xfId="15419" xr:uid="{E0CA37E3-544B-48A3-932A-DA39F705D2D3}"/>
    <cellStyle name="Comma 4 2 2 3 9 2 3" xfId="23847" xr:uid="{E3653265-BBD0-49FE-A57D-63B9DDAF796F}"/>
    <cellStyle name="Comma 4 2 2 3 9 3" xfId="11201" xr:uid="{60E191A0-0030-44AE-9704-FBE2B34A65F6}"/>
    <cellStyle name="Comma 4 2 2 3 9 4" xfId="19630" xr:uid="{8DCCFE33-74BB-4F92-85DA-B571A0317C4D}"/>
    <cellStyle name="Comma 4 2 2 4" xfId="134" xr:uid="{00000000-0005-0000-0000-00002A080000}"/>
    <cellStyle name="Comma 4 2 2 4 10" xfId="8820" xr:uid="{4D9A4A4C-1D35-4F7F-AE35-EFDFC63F9D21}"/>
    <cellStyle name="Comma 4 2 2 4 11" xfId="17249" xr:uid="{E7BBB3A7-DBE7-4295-9D73-BB6850CC4764}"/>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7" xr:uid="{361AEC14-30D4-4704-B040-5B62A2FA9926}"/>
    <cellStyle name="Comma 4 2 2 4 2 2 2 3" xfId="24025" xr:uid="{33DE7C82-14EE-43A6-91CC-A18B6E8F247B}"/>
    <cellStyle name="Comma 4 2 2 4 2 2 3" xfId="11379" xr:uid="{1F33A22F-A660-44D9-8DBF-5E97207755B2}"/>
    <cellStyle name="Comma 4 2 2 4 2 2 4" xfId="19808" xr:uid="{BB9030C8-0C4D-4F24-BE20-824CF43AC5F7}"/>
    <cellStyle name="Comma 4 2 2 4 2 3" xfId="5023" xr:uid="{00000000-0005-0000-0000-00002E080000}"/>
    <cellStyle name="Comma 4 2 2 4 2 3 2" xfId="13452" xr:uid="{74E77AF4-69D9-4AC8-93C0-C229B5E32134}"/>
    <cellStyle name="Comma 4 2 2 4 2 3 3" xfId="21880" xr:uid="{221A2D14-99CA-4FFD-983B-92F23930F227}"/>
    <cellStyle name="Comma 4 2 2 4 2 4" xfId="9234" xr:uid="{19D2498A-9460-4A0C-AD4B-7E976638B183}"/>
    <cellStyle name="Comma 4 2 2 4 2 5" xfId="17663" xr:uid="{A4E63D36-C499-43B3-8B2E-BA0290FCFBB7}"/>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10" xr:uid="{5BDED287-8623-4007-81B5-FD8CAA6CB69D}"/>
    <cellStyle name="Comma 4 2 2 4 3 2 2 3" xfId="24438" xr:uid="{0EC5753F-C9BB-4AAE-A404-B02F13B1E9DD}"/>
    <cellStyle name="Comma 4 2 2 4 3 2 3" xfId="11792" xr:uid="{852A0668-CE8D-461A-99EF-A304EE21963F}"/>
    <cellStyle name="Comma 4 2 2 4 3 2 4" xfId="20221" xr:uid="{11005097-18D1-4843-967F-5745E3A5FA8B}"/>
    <cellStyle name="Comma 4 2 2 4 3 3" xfId="5436" xr:uid="{00000000-0005-0000-0000-000032080000}"/>
    <cellStyle name="Comma 4 2 2 4 3 3 2" xfId="13865" xr:uid="{568455C8-A10E-4AFA-94D9-9569236F8D9D}"/>
    <cellStyle name="Comma 4 2 2 4 3 3 3" xfId="22293" xr:uid="{DAFC4E58-ACD2-44D3-95E4-44B022A966A2}"/>
    <cellStyle name="Comma 4 2 2 4 3 4" xfId="9647" xr:uid="{141556C0-D342-4E58-885A-B73C55538FE3}"/>
    <cellStyle name="Comma 4 2 2 4 3 5" xfId="18076" xr:uid="{2D8D2C4F-AB9D-48C5-8677-C60F783858D1}"/>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23" xr:uid="{4D9E4AF2-CDA2-4369-B341-B29948AB57DF}"/>
    <cellStyle name="Comma 4 2 2 4 4 2 2 3" xfId="24851" xr:uid="{4705463F-5232-4F76-9791-DF881A0AAD3C}"/>
    <cellStyle name="Comma 4 2 2 4 4 2 3" xfId="12205" xr:uid="{B87B6285-5788-4554-A9AA-8195F2BECF0C}"/>
    <cellStyle name="Comma 4 2 2 4 4 2 4" xfId="20634" xr:uid="{64F0C1E3-B18E-41EB-B3FF-294FE2967444}"/>
    <cellStyle name="Comma 4 2 2 4 4 3" xfId="5849" xr:uid="{00000000-0005-0000-0000-000036080000}"/>
    <cellStyle name="Comma 4 2 2 4 4 3 2" xfId="14278" xr:uid="{92690867-3B37-4A2A-8958-207EA2ACDA44}"/>
    <cellStyle name="Comma 4 2 2 4 4 3 3" xfId="22706" xr:uid="{AE44DD15-A874-4639-B17E-05D5FFA4A9CD}"/>
    <cellStyle name="Comma 4 2 2 4 4 4" xfId="10060" xr:uid="{1D0663D6-54A1-47FD-A2F7-946F7CBB274F}"/>
    <cellStyle name="Comma 4 2 2 4 4 5" xfId="18489" xr:uid="{FA899AAF-997D-4748-9525-946A2E56A0DA}"/>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36" xr:uid="{7B6E279C-8441-4FC3-A702-98783A306762}"/>
    <cellStyle name="Comma 4 2 2 4 5 2 2 3" xfId="25264" xr:uid="{10E047B9-7DC4-4A7C-A672-483EE879B8CF}"/>
    <cellStyle name="Comma 4 2 2 4 5 2 3" xfId="12618" xr:uid="{ADAD62F9-E0FD-40C7-A0DA-434045819613}"/>
    <cellStyle name="Comma 4 2 2 4 5 2 4" xfId="21047" xr:uid="{E39B00CE-1683-4890-B066-51D22D3D0CA1}"/>
    <cellStyle name="Comma 4 2 2 4 5 3" xfId="6262" xr:uid="{00000000-0005-0000-0000-00003A080000}"/>
    <cellStyle name="Comma 4 2 2 4 5 3 2" xfId="14691" xr:uid="{3E56BF9C-50C0-4F6B-BD0F-8F4283117E10}"/>
    <cellStyle name="Comma 4 2 2 4 5 3 3" xfId="23119" xr:uid="{DA1E9C68-5E39-47B9-9635-CE4042E0DC67}"/>
    <cellStyle name="Comma 4 2 2 4 5 4" xfId="10473" xr:uid="{DC1E98DB-4CB9-4D0B-9D13-DAE16545FD1F}"/>
    <cellStyle name="Comma 4 2 2 4 5 5" xfId="18902" xr:uid="{AC3F0194-E9D4-4A75-AAA4-5CC99DB7FF3B}"/>
    <cellStyle name="Comma 4 2 2 4 6" xfId="2389" xr:uid="{00000000-0005-0000-0000-00003B080000}"/>
    <cellStyle name="Comma 4 2 2 4 6 2" xfId="6675" xr:uid="{00000000-0005-0000-0000-00003C080000}"/>
    <cellStyle name="Comma 4 2 2 4 6 2 2" xfId="15104" xr:uid="{93E418C9-EA44-4B0E-98BC-2A1B69928FA6}"/>
    <cellStyle name="Comma 4 2 2 4 6 2 3" xfId="23532" xr:uid="{39F1FBBE-B271-46F8-8FA5-15308D68E3F0}"/>
    <cellStyle name="Comma 4 2 2 4 6 3" xfId="10886" xr:uid="{3EA79D59-7410-4C4B-9F08-A48A4E0370AC}"/>
    <cellStyle name="Comma 4 2 2 4 6 4" xfId="19315" xr:uid="{3DE24D90-BA68-4664-877D-C50FE55496DD}"/>
    <cellStyle name="Comma 4 2 2 4 7" xfId="2376" xr:uid="{00000000-0005-0000-0000-00003D080000}"/>
    <cellStyle name="Comma 4 2 2 4 8" xfId="2767" xr:uid="{00000000-0005-0000-0000-00003E080000}"/>
    <cellStyle name="Comma 4 2 2 4 8 2" xfId="6992" xr:uid="{00000000-0005-0000-0000-00003F080000}"/>
    <cellStyle name="Comma 4 2 2 4 8 2 2" xfId="15421" xr:uid="{B4D81D04-1590-45A1-843A-37AFD2E86E90}"/>
    <cellStyle name="Comma 4 2 2 4 8 2 3" xfId="23849" xr:uid="{1DA22CE7-D430-48BE-89C7-A3598B6BC658}"/>
    <cellStyle name="Comma 4 2 2 4 8 3" xfId="11203" xr:uid="{A20C9CE7-C0EE-49A1-9DF2-02EBB3083065}"/>
    <cellStyle name="Comma 4 2 2 4 8 4" xfId="19632" xr:uid="{C483BE1D-D23D-4C29-9DF6-A217155E21E2}"/>
    <cellStyle name="Comma 4 2 2 4 9" xfId="4609" xr:uid="{00000000-0005-0000-0000-000040080000}"/>
    <cellStyle name="Comma 4 2 2 4 9 2" xfId="13038" xr:uid="{6707B6A4-3438-4C94-A55C-974BC5611C67}"/>
    <cellStyle name="Comma 4 2 2 4 9 3" xfId="21466" xr:uid="{282F9540-EEFC-4F08-8B93-AF8194B1F7AE}"/>
    <cellStyle name="Comma 4 2 2 5" xfId="135" xr:uid="{00000000-0005-0000-0000-000041080000}"/>
    <cellStyle name="Comma 4 2 2 5 10" xfId="8821" xr:uid="{65ED52ED-22FF-481B-8864-17B35E93FE9C}"/>
    <cellStyle name="Comma 4 2 2 5 11" xfId="17250" xr:uid="{B1D2FA53-F2C2-4737-8C86-5C961B94B0C3}"/>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8" xr:uid="{AF99797E-7F9F-4422-8740-5EF6A463E861}"/>
    <cellStyle name="Comma 4 2 2 5 2 2 2 3" xfId="24026" xr:uid="{28489D39-1244-4A10-A072-323B55C3C004}"/>
    <cellStyle name="Comma 4 2 2 5 2 2 3" xfId="11380" xr:uid="{F5B63ED1-F696-41A5-A788-09AC9C85243F}"/>
    <cellStyle name="Comma 4 2 2 5 2 2 4" xfId="19809" xr:uid="{FC11CCA0-99D8-450C-BC20-0FD556F0152D}"/>
    <cellStyle name="Comma 4 2 2 5 2 3" xfId="5024" xr:uid="{00000000-0005-0000-0000-000045080000}"/>
    <cellStyle name="Comma 4 2 2 5 2 3 2" xfId="13453" xr:uid="{4C208388-ED00-4F36-A522-BAD6D90CBA38}"/>
    <cellStyle name="Comma 4 2 2 5 2 3 3" xfId="21881" xr:uid="{B8D5FDB5-DB3C-413D-B862-CF20D9138CFB}"/>
    <cellStyle name="Comma 4 2 2 5 2 4" xfId="9235" xr:uid="{3388A4D7-3E89-4830-9028-A9F300340F46}"/>
    <cellStyle name="Comma 4 2 2 5 2 5" xfId="17664" xr:uid="{B7D05C3D-A07A-4F44-8036-CF8DFC996BF4}"/>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11" xr:uid="{813A1580-3CCD-46AE-AE86-3F4704682FFB}"/>
    <cellStyle name="Comma 4 2 2 5 3 2 2 3" xfId="24439" xr:uid="{47C88160-5905-4F75-8AB6-E1B05DC678D2}"/>
    <cellStyle name="Comma 4 2 2 5 3 2 3" xfId="11793" xr:uid="{074298E3-D0A0-49D9-8CB1-BC9DFA0A4208}"/>
    <cellStyle name="Comma 4 2 2 5 3 2 4" xfId="20222" xr:uid="{44AFC637-9C77-40E7-B78F-2C4C0567E4D9}"/>
    <cellStyle name="Comma 4 2 2 5 3 3" xfId="5437" xr:uid="{00000000-0005-0000-0000-000049080000}"/>
    <cellStyle name="Comma 4 2 2 5 3 3 2" xfId="13866" xr:uid="{A69606D3-014D-48F3-A363-048DA63DDFBE}"/>
    <cellStyle name="Comma 4 2 2 5 3 3 3" xfId="22294" xr:uid="{F697D618-70EB-4E0B-8D58-6E9BD1C83CB1}"/>
    <cellStyle name="Comma 4 2 2 5 3 4" xfId="9648" xr:uid="{72548123-100F-4741-8222-7623A7655612}"/>
    <cellStyle name="Comma 4 2 2 5 3 5" xfId="18077" xr:uid="{DF427368-B3AD-4EF9-A8A5-D7835C804616}"/>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24" xr:uid="{C0191E9B-2F56-4FD5-BBC0-00ED8C5C135C}"/>
    <cellStyle name="Comma 4 2 2 5 4 2 2 3" xfId="24852" xr:uid="{8138764C-F36B-44E5-B2F0-810CE5B572A4}"/>
    <cellStyle name="Comma 4 2 2 5 4 2 3" xfId="12206" xr:uid="{9ECB8D91-E9AC-4B49-A738-2CEA69EC2CC5}"/>
    <cellStyle name="Comma 4 2 2 5 4 2 4" xfId="20635" xr:uid="{7AED8D1A-24A9-47EC-97FD-61312DF634FB}"/>
    <cellStyle name="Comma 4 2 2 5 4 3" xfId="5850" xr:uid="{00000000-0005-0000-0000-00004D080000}"/>
    <cellStyle name="Comma 4 2 2 5 4 3 2" xfId="14279" xr:uid="{4BBEC257-CDD4-4C4E-B6FE-EA591519137C}"/>
    <cellStyle name="Comma 4 2 2 5 4 3 3" xfId="22707" xr:uid="{691FC041-E0AB-4EE8-86B9-C5BC51D424EA}"/>
    <cellStyle name="Comma 4 2 2 5 4 4" xfId="10061" xr:uid="{994E707F-9C8A-464E-A308-653CA4E2A19F}"/>
    <cellStyle name="Comma 4 2 2 5 4 5" xfId="18490" xr:uid="{90CAF22E-31D2-4E71-9122-2BF877BF63DA}"/>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7" xr:uid="{260395BC-6259-47D1-8145-8FF78F7DD162}"/>
    <cellStyle name="Comma 4 2 2 5 5 2 2 3" xfId="25265" xr:uid="{A570FEC6-DFFC-4580-A6AB-88BA46E2DEC9}"/>
    <cellStyle name="Comma 4 2 2 5 5 2 3" xfId="12619" xr:uid="{BEBF3840-B8BD-4DCE-987F-FC89D9BB5484}"/>
    <cellStyle name="Comma 4 2 2 5 5 2 4" xfId="21048" xr:uid="{DD0B1EE8-4DF6-4C10-9FEF-ACD6925BD914}"/>
    <cellStyle name="Comma 4 2 2 5 5 3" xfId="6263" xr:uid="{00000000-0005-0000-0000-000051080000}"/>
    <cellStyle name="Comma 4 2 2 5 5 3 2" xfId="14692" xr:uid="{AF0C943E-1CC1-4C30-A83F-9682C2A2CB64}"/>
    <cellStyle name="Comma 4 2 2 5 5 3 3" xfId="23120" xr:uid="{84EB7BEF-2831-45FE-8922-19BC1BB475AC}"/>
    <cellStyle name="Comma 4 2 2 5 5 4" xfId="10474" xr:uid="{2A75DAE0-A921-4E60-97E7-E73D195455AA}"/>
    <cellStyle name="Comma 4 2 2 5 5 5" xfId="18903" xr:uid="{9ABFF833-48C8-4024-92B0-C6C501001069}"/>
    <cellStyle name="Comma 4 2 2 5 6" xfId="2390" xr:uid="{00000000-0005-0000-0000-000052080000}"/>
    <cellStyle name="Comma 4 2 2 5 6 2" xfId="6676" xr:uid="{00000000-0005-0000-0000-000053080000}"/>
    <cellStyle name="Comma 4 2 2 5 6 2 2" xfId="15105" xr:uid="{DC976C85-9439-4B3B-A7B1-EBB7E4D19298}"/>
    <cellStyle name="Comma 4 2 2 5 6 2 3" xfId="23533" xr:uid="{E1724353-9E83-4812-A8A9-9EACA921E4D4}"/>
    <cellStyle name="Comma 4 2 2 5 6 3" xfId="10887" xr:uid="{440F8541-2E84-4F19-A60F-7BAB7E5DAB65}"/>
    <cellStyle name="Comma 4 2 2 5 6 4" xfId="19316" xr:uid="{CBA8B001-BE30-44D6-AA83-A8B1D2E7DF06}"/>
    <cellStyle name="Comma 4 2 2 5 7" xfId="2375" xr:uid="{00000000-0005-0000-0000-000054080000}"/>
    <cellStyle name="Comma 4 2 2 5 8" xfId="2768" xr:uid="{00000000-0005-0000-0000-000055080000}"/>
    <cellStyle name="Comma 4 2 2 5 8 2" xfId="6993" xr:uid="{00000000-0005-0000-0000-000056080000}"/>
    <cellStyle name="Comma 4 2 2 5 8 2 2" xfId="15422" xr:uid="{5DF50C5B-CAA7-40C9-8E3F-0DA35E417233}"/>
    <cellStyle name="Comma 4 2 2 5 8 2 3" xfId="23850" xr:uid="{CE115C26-BDB7-41FD-B954-8642D267C5ED}"/>
    <cellStyle name="Comma 4 2 2 5 8 3" xfId="11204" xr:uid="{3D7A249B-B87F-495B-8370-D8DDB43FA6D9}"/>
    <cellStyle name="Comma 4 2 2 5 8 4" xfId="19633" xr:uid="{D43499D6-81CD-42E2-BA08-E142F1045382}"/>
    <cellStyle name="Comma 4 2 2 5 9" xfId="4610" xr:uid="{00000000-0005-0000-0000-000057080000}"/>
    <cellStyle name="Comma 4 2 2 5 9 2" xfId="13039" xr:uid="{8381E621-B545-4F2A-BFD5-23F0377C46BD}"/>
    <cellStyle name="Comma 4 2 2 5 9 3" xfId="21467" xr:uid="{CD0F02F9-31E0-44BD-8B60-5005AD5B79EE}"/>
    <cellStyle name="Comma 4 2 3" xfId="136" xr:uid="{00000000-0005-0000-0000-000058080000}"/>
    <cellStyle name="Comma 4 2 3 10" xfId="2769" xr:uid="{00000000-0005-0000-0000-000059080000}"/>
    <cellStyle name="Comma 4 2 3 10 2" xfId="6994" xr:uid="{00000000-0005-0000-0000-00005A080000}"/>
    <cellStyle name="Comma 4 2 3 10 2 2" xfId="15423" xr:uid="{FA5D8C77-4BF2-446F-86CC-1532386977C1}"/>
    <cellStyle name="Comma 4 2 3 10 2 3" xfId="23851" xr:uid="{FC567813-CBDC-4CF2-8D7A-BB7090AB9947}"/>
    <cellStyle name="Comma 4 2 3 10 3" xfId="11205" xr:uid="{01002F6E-B1FB-44A3-9AF6-29BFEC746C6D}"/>
    <cellStyle name="Comma 4 2 3 10 4" xfId="19634" xr:uid="{62388448-FFE7-4C83-B8D9-42EE3D0C1A0A}"/>
    <cellStyle name="Comma 4 2 3 11" xfId="4611" xr:uid="{00000000-0005-0000-0000-00005B080000}"/>
    <cellStyle name="Comma 4 2 3 11 2" xfId="13040" xr:uid="{F3CA8E04-F723-494F-98CF-2A1E61C7DD23}"/>
    <cellStyle name="Comma 4 2 3 11 3" xfId="21468" xr:uid="{D3FBE56B-3D3A-49B3-8EB8-3F2697D384C1}"/>
    <cellStyle name="Comma 4 2 3 12" xfId="8822" xr:uid="{D8A056D3-D912-43D5-B9AD-FD75EA662679}"/>
    <cellStyle name="Comma 4 2 3 13" xfId="17251" xr:uid="{C0CAAF76-D787-4744-BF89-04AE8D9DF35C}"/>
    <cellStyle name="Comma 4 2 3 2" xfId="137" xr:uid="{00000000-0005-0000-0000-00005C080000}"/>
    <cellStyle name="Comma 4 2 3 2 10" xfId="4612" xr:uid="{00000000-0005-0000-0000-00005D080000}"/>
    <cellStyle name="Comma 4 2 3 2 10 2" xfId="13041" xr:uid="{D1AEA894-25FA-41A3-ADAD-231A016527C2}"/>
    <cellStyle name="Comma 4 2 3 2 10 3" xfId="21469" xr:uid="{9A6E304D-BEC0-4B39-8433-5D4988247A56}"/>
    <cellStyle name="Comma 4 2 3 2 11" xfId="8823" xr:uid="{1800E0B9-3C4E-4CFE-B6C2-513DBB489B30}"/>
    <cellStyle name="Comma 4 2 3 2 12" xfId="17252" xr:uid="{12028BCF-37CD-4968-B94C-661115C89B6A}"/>
    <cellStyle name="Comma 4 2 3 2 2" xfId="138" xr:uid="{00000000-0005-0000-0000-00005E080000}"/>
    <cellStyle name="Comma 4 2 3 2 2 10" xfId="8824" xr:uid="{AAE4AA06-8AD3-47B9-8950-66D21D6C3D07}"/>
    <cellStyle name="Comma 4 2 3 2 2 11" xfId="17253" xr:uid="{1B289E42-394C-470C-9D2F-DE94E94AD613}"/>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601" xr:uid="{78F6C39E-98FC-43DC-9BC0-92823FF95E1D}"/>
    <cellStyle name="Comma 4 2 3 2 2 2 2 2 3" xfId="24029" xr:uid="{DDA3569A-7010-4043-8603-8A066F3C5DA9}"/>
    <cellStyle name="Comma 4 2 3 2 2 2 2 3" xfId="11383" xr:uid="{62C835DC-CC2C-4A4D-8B04-169B726C9613}"/>
    <cellStyle name="Comma 4 2 3 2 2 2 2 4" xfId="19812" xr:uid="{0174FA17-C9E4-46D7-9AF8-E079E98CE29E}"/>
    <cellStyle name="Comma 4 2 3 2 2 2 3" xfId="5027" xr:uid="{00000000-0005-0000-0000-000062080000}"/>
    <cellStyle name="Comma 4 2 3 2 2 2 3 2" xfId="13456" xr:uid="{E4E1215C-8836-4982-8541-A3EA1981567A}"/>
    <cellStyle name="Comma 4 2 3 2 2 2 3 3" xfId="21884" xr:uid="{3351608F-0135-42F6-B6FD-05C96E7A5E94}"/>
    <cellStyle name="Comma 4 2 3 2 2 2 4" xfId="9238" xr:uid="{B2EFE4A4-0022-4DBC-8933-84B6F92E2F74}"/>
    <cellStyle name="Comma 4 2 3 2 2 2 5" xfId="17667" xr:uid="{65262AE4-C37A-44AC-A041-F0BF5792993A}"/>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14" xr:uid="{7728C0BD-8A80-4A4A-99FF-E54BE53DF097}"/>
    <cellStyle name="Comma 4 2 3 2 2 3 2 2 3" xfId="24442" xr:uid="{DFEEC35E-1E71-4C8B-9D7A-A00B6591140A}"/>
    <cellStyle name="Comma 4 2 3 2 2 3 2 3" xfId="11796" xr:uid="{6B42D45B-2BE6-48A7-B76B-C47C82F04F33}"/>
    <cellStyle name="Comma 4 2 3 2 2 3 2 4" xfId="20225" xr:uid="{33C5648E-F872-4E58-A19E-F03EC3D2E494}"/>
    <cellStyle name="Comma 4 2 3 2 2 3 3" xfId="5440" xr:uid="{00000000-0005-0000-0000-000066080000}"/>
    <cellStyle name="Comma 4 2 3 2 2 3 3 2" xfId="13869" xr:uid="{854703D0-8B10-49CF-B7E3-C1BB04DA13B6}"/>
    <cellStyle name="Comma 4 2 3 2 2 3 3 3" xfId="22297" xr:uid="{8CA6A450-D023-48CD-AE9E-66BB5937F9D8}"/>
    <cellStyle name="Comma 4 2 3 2 2 3 4" xfId="9651" xr:uid="{0107B6B1-CAF9-4A16-BB57-2AB63CC2F571}"/>
    <cellStyle name="Comma 4 2 3 2 2 3 5" xfId="18080" xr:uid="{A241FF86-225B-42DC-A43A-8239330E2A37}"/>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7" xr:uid="{6A9701CD-AD8C-43B2-B0D2-014BC8EA5602}"/>
    <cellStyle name="Comma 4 2 3 2 2 4 2 2 3" xfId="24855" xr:uid="{837FD417-D725-4D25-BCAA-070103D46B79}"/>
    <cellStyle name="Comma 4 2 3 2 2 4 2 3" xfId="12209" xr:uid="{92252370-28BA-4570-B122-091B8083651E}"/>
    <cellStyle name="Comma 4 2 3 2 2 4 2 4" xfId="20638" xr:uid="{C268E1EE-6AE0-4A95-B44F-6761C315BFED}"/>
    <cellStyle name="Comma 4 2 3 2 2 4 3" xfId="5853" xr:uid="{00000000-0005-0000-0000-00006A080000}"/>
    <cellStyle name="Comma 4 2 3 2 2 4 3 2" xfId="14282" xr:uid="{644B3CA5-801F-4092-B847-7A332FFCBF8F}"/>
    <cellStyle name="Comma 4 2 3 2 2 4 3 3" xfId="22710" xr:uid="{7C3F9311-9D5E-45B8-8E8D-53FB638F5A41}"/>
    <cellStyle name="Comma 4 2 3 2 2 4 4" xfId="10064" xr:uid="{444DBCA6-AAA8-4B43-BAA0-1CD27C5CC86B}"/>
    <cellStyle name="Comma 4 2 3 2 2 4 5" xfId="18493" xr:uid="{3CC2F551-2F7F-4CC3-9481-C7488A0272DB}"/>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40" xr:uid="{3E57D7D7-C86A-4716-9BDF-806A0FC03AC0}"/>
    <cellStyle name="Comma 4 2 3 2 2 5 2 2 3" xfId="25268" xr:uid="{B9F7194E-3799-438D-BABF-9942E7533F54}"/>
    <cellStyle name="Comma 4 2 3 2 2 5 2 3" xfId="12622" xr:uid="{086C8855-E3C5-49BC-AFBF-EF1CD1D3F906}"/>
    <cellStyle name="Comma 4 2 3 2 2 5 2 4" xfId="21051" xr:uid="{9C515F12-FF77-4945-9BA4-B1FAB00A520A}"/>
    <cellStyle name="Comma 4 2 3 2 2 5 3" xfId="6266" xr:uid="{00000000-0005-0000-0000-00006E080000}"/>
    <cellStyle name="Comma 4 2 3 2 2 5 3 2" xfId="14695" xr:uid="{2A648643-3280-4D30-AB04-1EA577DCDF6A}"/>
    <cellStyle name="Comma 4 2 3 2 2 5 3 3" xfId="23123" xr:uid="{02370571-975E-4F20-BCD3-EED68E0BBCD2}"/>
    <cellStyle name="Comma 4 2 3 2 2 5 4" xfId="10477" xr:uid="{2120552E-CC26-433A-854E-51FC38FCB987}"/>
    <cellStyle name="Comma 4 2 3 2 2 5 5" xfId="18906" xr:uid="{E25B39BF-E128-4ED0-AFB7-13EFB67C099F}"/>
    <cellStyle name="Comma 4 2 3 2 2 6" xfId="2393" xr:uid="{00000000-0005-0000-0000-00006F080000}"/>
    <cellStyle name="Comma 4 2 3 2 2 6 2" xfId="6679" xr:uid="{00000000-0005-0000-0000-000070080000}"/>
    <cellStyle name="Comma 4 2 3 2 2 6 2 2" xfId="15108" xr:uid="{ACFA8A0F-9DAD-4086-AEE0-E8F533C1001F}"/>
    <cellStyle name="Comma 4 2 3 2 2 6 2 3" xfId="23536" xr:uid="{EA51E23E-A94C-405C-9B35-3A4ED0787328}"/>
    <cellStyle name="Comma 4 2 3 2 2 6 3" xfId="10890" xr:uid="{48807FCC-0B6D-45E8-8D46-DA8C1C1E70D1}"/>
    <cellStyle name="Comma 4 2 3 2 2 6 4" xfId="19319" xr:uid="{4CDC8B5C-9141-45A1-A595-FE6649E5E619}"/>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25" xr:uid="{16596F68-052A-4894-B6D7-E4E0EC745F76}"/>
    <cellStyle name="Comma 4 2 3 2 2 8 2 3" xfId="23853" xr:uid="{AD7055D8-8514-4EE3-8FBA-DE04CE5F8F36}"/>
    <cellStyle name="Comma 4 2 3 2 2 8 3" xfId="11207" xr:uid="{DE2171CE-94F2-45E1-AE18-FD0A3263EF2D}"/>
    <cellStyle name="Comma 4 2 3 2 2 8 4" xfId="19636" xr:uid="{93913C5D-8089-4B91-A57F-EA28135FA27E}"/>
    <cellStyle name="Comma 4 2 3 2 2 9" xfId="4613" xr:uid="{00000000-0005-0000-0000-000074080000}"/>
    <cellStyle name="Comma 4 2 3 2 2 9 2" xfId="13042" xr:uid="{E7FBE7B9-C298-40C9-90D6-E6FBDEF8960A}"/>
    <cellStyle name="Comma 4 2 3 2 2 9 3" xfId="21470" xr:uid="{328DD5C7-D2B5-4F52-ADEC-5A5A35498F20}"/>
    <cellStyle name="Comma 4 2 3 2 3" xfId="676" xr:uid="{00000000-0005-0000-0000-000075080000}"/>
    <cellStyle name="Comma 4 2 3 2 3 2" xfId="2947" xr:uid="{00000000-0005-0000-0000-000076080000}"/>
    <cellStyle name="Comma 4 2 3 2 3 2 2" xfId="7171" xr:uid="{00000000-0005-0000-0000-000077080000}"/>
    <cellStyle name="Comma 4 2 3 2 3 2 2 2" xfId="15600" xr:uid="{CBF7F0F3-2EDE-4625-9CEF-3C77F63ECE90}"/>
    <cellStyle name="Comma 4 2 3 2 3 2 2 3" xfId="24028" xr:uid="{221360FD-AD8C-437A-8662-925B4130AAFC}"/>
    <cellStyle name="Comma 4 2 3 2 3 2 3" xfId="11382" xr:uid="{5ABB5C48-1F1F-4D6E-922A-259F5E878933}"/>
    <cellStyle name="Comma 4 2 3 2 3 2 4" xfId="19811" xr:uid="{84CB7B55-9B8A-4334-8993-6AE210CCBCC8}"/>
    <cellStyle name="Comma 4 2 3 2 3 3" xfId="5026" xr:uid="{00000000-0005-0000-0000-000078080000}"/>
    <cellStyle name="Comma 4 2 3 2 3 3 2" xfId="13455" xr:uid="{15EFD784-7833-4198-887F-B1F5A2091484}"/>
    <cellStyle name="Comma 4 2 3 2 3 3 3" xfId="21883" xr:uid="{73FD93EA-B644-4D8B-AD87-86B7C05346A6}"/>
    <cellStyle name="Comma 4 2 3 2 3 4" xfId="9237" xr:uid="{D3A25F87-5C7A-4D88-9F5F-CE62F7EE9113}"/>
    <cellStyle name="Comma 4 2 3 2 3 5" xfId="17666" xr:uid="{2B286369-1696-420F-8EC0-E4312E32420F}"/>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13" xr:uid="{22896040-A158-44E4-BD4C-86765B16E464}"/>
    <cellStyle name="Comma 4 2 3 2 4 2 2 3" xfId="24441" xr:uid="{E9485CA5-14F8-4892-B19B-B5FAF2A663AE}"/>
    <cellStyle name="Comma 4 2 3 2 4 2 3" xfId="11795" xr:uid="{4AE3E98D-A17C-4EED-8595-7296FF4F337A}"/>
    <cellStyle name="Comma 4 2 3 2 4 2 4" xfId="20224" xr:uid="{2947814E-C823-4AD6-AA60-6EDB507D0AD3}"/>
    <cellStyle name="Comma 4 2 3 2 4 3" xfId="5439" xr:uid="{00000000-0005-0000-0000-00007C080000}"/>
    <cellStyle name="Comma 4 2 3 2 4 3 2" xfId="13868" xr:uid="{E34A7642-36EE-4B0B-896F-773ECA05CFDA}"/>
    <cellStyle name="Comma 4 2 3 2 4 3 3" xfId="22296" xr:uid="{1A954FCB-F9A8-4D93-88AC-2E487FB66E6C}"/>
    <cellStyle name="Comma 4 2 3 2 4 4" xfId="9650" xr:uid="{1A17FF59-9868-4DA9-A844-4512E361186F}"/>
    <cellStyle name="Comma 4 2 3 2 4 5" xfId="18079" xr:uid="{7570ACB0-F4CA-4935-8943-050DF8347759}"/>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26" xr:uid="{FFCF5D38-D8FB-458D-AEAB-0D846CF31888}"/>
    <cellStyle name="Comma 4 2 3 2 5 2 2 3" xfId="24854" xr:uid="{89CC37D0-B1E0-4224-8FB1-200DCA435BB3}"/>
    <cellStyle name="Comma 4 2 3 2 5 2 3" xfId="12208" xr:uid="{69422B34-46EF-44D0-BEA2-4C42695EE237}"/>
    <cellStyle name="Comma 4 2 3 2 5 2 4" xfId="20637" xr:uid="{B5DD23BB-9888-409C-B502-EE7314CA663D}"/>
    <cellStyle name="Comma 4 2 3 2 5 3" xfId="5852" xr:uid="{00000000-0005-0000-0000-000080080000}"/>
    <cellStyle name="Comma 4 2 3 2 5 3 2" xfId="14281" xr:uid="{09B88335-41DA-4944-806C-F39D9DE106D4}"/>
    <cellStyle name="Comma 4 2 3 2 5 3 3" xfId="22709" xr:uid="{3F32696A-C565-4BEE-8765-9A475AECE488}"/>
    <cellStyle name="Comma 4 2 3 2 5 4" xfId="10063" xr:uid="{90CD0916-EFC5-4AFD-BF6A-4B3880782E0A}"/>
    <cellStyle name="Comma 4 2 3 2 5 5" xfId="18492" xr:uid="{7ABE1AD4-BD72-4A74-BFE8-85B1A624E5C0}"/>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9" xr:uid="{C9B62A66-CD2D-41FD-8D34-100BE9CCD482}"/>
    <cellStyle name="Comma 4 2 3 2 6 2 2 3" xfId="25267" xr:uid="{F8759BA2-9E9D-47F8-B7F7-BAFC80CCD36B}"/>
    <cellStyle name="Comma 4 2 3 2 6 2 3" xfId="12621" xr:uid="{5DB47C04-0F3C-4C7C-A78D-069D24565F13}"/>
    <cellStyle name="Comma 4 2 3 2 6 2 4" xfId="21050" xr:uid="{ED08C1A5-0792-43A6-AD76-F2C862B811C6}"/>
    <cellStyle name="Comma 4 2 3 2 6 3" xfId="6265" xr:uid="{00000000-0005-0000-0000-000084080000}"/>
    <cellStyle name="Comma 4 2 3 2 6 3 2" xfId="14694" xr:uid="{DF382A18-39B3-4E04-A280-78B066393D80}"/>
    <cellStyle name="Comma 4 2 3 2 6 3 3" xfId="23122" xr:uid="{1F142D56-2D74-46F2-8419-A7B7AF23A561}"/>
    <cellStyle name="Comma 4 2 3 2 6 4" xfId="10476" xr:uid="{1E884B7E-D377-4C3E-9889-3CDD8A842F8B}"/>
    <cellStyle name="Comma 4 2 3 2 6 5" xfId="18905" xr:uid="{0167C2CA-6D31-4261-BF6B-8B1128E8706C}"/>
    <cellStyle name="Comma 4 2 3 2 7" xfId="2392" xr:uid="{00000000-0005-0000-0000-000085080000}"/>
    <cellStyle name="Comma 4 2 3 2 7 2" xfId="6678" xr:uid="{00000000-0005-0000-0000-000086080000}"/>
    <cellStyle name="Comma 4 2 3 2 7 2 2" xfId="15107" xr:uid="{42975C17-A081-43B4-83C8-6A8C74E4D2C9}"/>
    <cellStyle name="Comma 4 2 3 2 7 2 3" xfId="23535" xr:uid="{23C19AF5-9974-42F3-88DD-DFB3492BFC5A}"/>
    <cellStyle name="Comma 4 2 3 2 7 3" xfId="10889" xr:uid="{E6F71FBD-F303-44F5-BB5B-3F4D5AE64C51}"/>
    <cellStyle name="Comma 4 2 3 2 7 4" xfId="19318" xr:uid="{62C475C2-4CBB-4964-ABD0-CF090F2B5F68}"/>
    <cellStyle name="Comma 4 2 3 2 8" xfId="2373" xr:uid="{00000000-0005-0000-0000-000087080000}"/>
    <cellStyle name="Comma 4 2 3 2 9" xfId="2770" xr:uid="{00000000-0005-0000-0000-000088080000}"/>
    <cellStyle name="Comma 4 2 3 2 9 2" xfId="6995" xr:uid="{00000000-0005-0000-0000-000089080000}"/>
    <cellStyle name="Comma 4 2 3 2 9 2 2" xfId="15424" xr:uid="{271AC146-AA71-447D-A1DE-7EA1A0CE6D45}"/>
    <cellStyle name="Comma 4 2 3 2 9 2 3" xfId="23852" xr:uid="{1EDAFCAA-FCF6-466F-8C35-9AE1807B35CE}"/>
    <cellStyle name="Comma 4 2 3 2 9 3" xfId="11206" xr:uid="{823CE910-F663-4EB1-83E1-2DB06A3B5797}"/>
    <cellStyle name="Comma 4 2 3 2 9 4" xfId="19635" xr:uid="{309E9BD8-546A-45D2-ADE3-3E6AA7FD9234}"/>
    <cellStyle name="Comma 4 2 3 3" xfId="139" xr:uid="{00000000-0005-0000-0000-00008A080000}"/>
    <cellStyle name="Comma 4 2 3 3 10" xfId="8825" xr:uid="{2A3C7599-BBD1-4148-9E23-F92EA841D5AD}"/>
    <cellStyle name="Comma 4 2 3 3 11" xfId="17254" xr:uid="{04DC9ABD-7F4A-4284-B4CA-79984DB80809}"/>
    <cellStyle name="Comma 4 2 3 3 2" xfId="678" xr:uid="{00000000-0005-0000-0000-00008B080000}"/>
    <cellStyle name="Comma 4 2 3 3 2 2" xfId="2949" xr:uid="{00000000-0005-0000-0000-00008C080000}"/>
    <cellStyle name="Comma 4 2 3 3 2 2 2" xfId="7173" xr:uid="{00000000-0005-0000-0000-00008D080000}"/>
    <cellStyle name="Comma 4 2 3 3 2 2 2 2" xfId="15602" xr:uid="{162CA4CC-CBD6-4EC2-9173-818FC4DE31CD}"/>
    <cellStyle name="Comma 4 2 3 3 2 2 2 3" xfId="24030" xr:uid="{0A09495F-4953-4AE5-994C-DBF87A391749}"/>
    <cellStyle name="Comma 4 2 3 3 2 2 3" xfId="11384" xr:uid="{8C310123-7213-4CB7-A2B6-F13C8DB2EDC3}"/>
    <cellStyle name="Comma 4 2 3 3 2 2 4" xfId="19813" xr:uid="{4B2BB124-E18A-4704-9E06-9C683B40A9E5}"/>
    <cellStyle name="Comma 4 2 3 3 2 3" xfId="5028" xr:uid="{00000000-0005-0000-0000-00008E080000}"/>
    <cellStyle name="Comma 4 2 3 3 2 3 2" xfId="13457" xr:uid="{3D14421A-CBA2-4B25-85C1-BA79930A74B1}"/>
    <cellStyle name="Comma 4 2 3 3 2 3 3" xfId="21885" xr:uid="{ECDC403D-25CA-46A5-BAD7-5B69A0F935ED}"/>
    <cellStyle name="Comma 4 2 3 3 2 4" xfId="9239" xr:uid="{B1BBB21E-0D75-489E-9A4C-ED6453E6F1F2}"/>
    <cellStyle name="Comma 4 2 3 3 2 5" xfId="17668" xr:uid="{4FFA51C4-A475-43E8-80F2-62FEC958FC2A}"/>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15" xr:uid="{E70D7CB2-AAC9-4BBB-AB28-B24D3AD82F77}"/>
    <cellStyle name="Comma 4 2 3 3 3 2 2 3" xfId="24443" xr:uid="{0940F4B8-AB8F-4610-9980-3ADBE046F050}"/>
    <cellStyle name="Comma 4 2 3 3 3 2 3" xfId="11797" xr:uid="{7348B4E0-7397-4484-B3B7-48A2C0922610}"/>
    <cellStyle name="Comma 4 2 3 3 3 2 4" xfId="20226" xr:uid="{6624AE1A-BA17-46F7-A19E-E7663D6BC571}"/>
    <cellStyle name="Comma 4 2 3 3 3 3" xfId="5441" xr:uid="{00000000-0005-0000-0000-000092080000}"/>
    <cellStyle name="Comma 4 2 3 3 3 3 2" xfId="13870" xr:uid="{14DEBDAE-AA21-4439-AB35-8D2986684B3C}"/>
    <cellStyle name="Comma 4 2 3 3 3 3 3" xfId="22298" xr:uid="{C1A4B86C-353A-4FA5-B1BE-18727E604E26}"/>
    <cellStyle name="Comma 4 2 3 3 3 4" xfId="9652" xr:uid="{5F75108D-A89B-4DEC-A640-31BEBB494511}"/>
    <cellStyle name="Comma 4 2 3 3 3 5" xfId="18081" xr:uid="{A6FCFA3F-B2B9-49D3-959C-771A967A64FE}"/>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8" xr:uid="{0B269FB3-B5D6-464B-8B35-0B7571FDCD7B}"/>
    <cellStyle name="Comma 4 2 3 3 4 2 2 3" xfId="24856" xr:uid="{5DB9A9BA-1E55-4B0C-B791-2AFE4F4FD89F}"/>
    <cellStyle name="Comma 4 2 3 3 4 2 3" xfId="12210" xr:uid="{46110623-04E4-4023-8946-DD5B9BE17453}"/>
    <cellStyle name="Comma 4 2 3 3 4 2 4" xfId="20639" xr:uid="{2C5BD264-5A2E-47FD-8C66-13F673604331}"/>
    <cellStyle name="Comma 4 2 3 3 4 3" xfId="5854" xr:uid="{00000000-0005-0000-0000-000096080000}"/>
    <cellStyle name="Comma 4 2 3 3 4 3 2" xfId="14283" xr:uid="{1A0C3F0C-15BA-4561-9F2C-31DC22280B9B}"/>
    <cellStyle name="Comma 4 2 3 3 4 3 3" xfId="22711" xr:uid="{AA014CB2-0B17-48D2-B4AB-5DAA7945E46D}"/>
    <cellStyle name="Comma 4 2 3 3 4 4" xfId="10065" xr:uid="{64350BE5-3E15-4B35-AFD0-50A307FBFA7A}"/>
    <cellStyle name="Comma 4 2 3 3 4 5" xfId="18494" xr:uid="{E6013BDE-B655-4B2F-ABEF-3EEADF3E6EDF}"/>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41" xr:uid="{8971E2F5-F36B-446A-9DAC-966E8FBC1AA2}"/>
    <cellStyle name="Comma 4 2 3 3 5 2 2 3" xfId="25269" xr:uid="{1B1F5E21-69A8-4D1D-A083-56E5F8CD48F1}"/>
    <cellStyle name="Comma 4 2 3 3 5 2 3" xfId="12623" xr:uid="{A9B4A0AC-4569-4EE3-B52F-47050FF4E5ED}"/>
    <cellStyle name="Comma 4 2 3 3 5 2 4" xfId="21052" xr:uid="{1261BDB8-B0F5-4BB2-9345-D661B8704C91}"/>
    <cellStyle name="Comma 4 2 3 3 5 3" xfId="6267" xr:uid="{00000000-0005-0000-0000-00009A080000}"/>
    <cellStyle name="Comma 4 2 3 3 5 3 2" xfId="14696" xr:uid="{9CA67A57-8095-4469-8658-83279A154345}"/>
    <cellStyle name="Comma 4 2 3 3 5 3 3" xfId="23124" xr:uid="{E6823171-CF78-4FDB-8589-DFC14F91FAF4}"/>
    <cellStyle name="Comma 4 2 3 3 5 4" xfId="10478" xr:uid="{DFB02BE6-36D9-4F77-B0E3-B18AEA21A4B4}"/>
    <cellStyle name="Comma 4 2 3 3 5 5" xfId="18907" xr:uid="{1061F621-65B3-4A70-A3A6-CF728DB227DB}"/>
    <cellStyle name="Comma 4 2 3 3 6" xfId="2394" xr:uid="{00000000-0005-0000-0000-00009B080000}"/>
    <cellStyle name="Comma 4 2 3 3 6 2" xfId="6680" xr:uid="{00000000-0005-0000-0000-00009C080000}"/>
    <cellStyle name="Comma 4 2 3 3 6 2 2" xfId="15109" xr:uid="{1E5BC061-1E91-4157-AE7B-DA0EFD2F957B}"/>
    <cellStyle name="Comma 4 2 3 3 6 2 3" xfId="23537" xr:uid="{318C701E-32B7-47BB-8ADE-A67B5853D46A}"/>
    <cellStyle name="Comma 4 2 3 3 6 3" xfId="10891" xr:uid="{CEA622CF-B9C5-4A64-9F6A-25A87D3FFF76}"/>
    <cellStyle name="Comma 4 2 3 3 6 4" xfId="19320" xr:uid="{61DC14E5-F362-43D0-ABED-626005D26214}"/>
    <cellStyle name="Comma 4 2 3 3 7" xfId="2371" xr:uid="{00000000-0005-0000-0000-00009D080000}"/>
    <cellStyle name="Comma 4 2 3 3 8" xfId="2772" xr:uid="{00000000-0005-0000-0000-00009E080000}"/>
    <cellStyle name="Comma 4 2 3 3 8 2" xfId="6997" xr:uid="{00000000-0005-0000-0000-00009F080000}"/>
    <cellStyle name="Comma 4 2 3 3 8 2 2" xfId="15426" xr:uid="{9F968D3C-6D24-4BB8-9BBD-DF2DE6FD903C}"/>
    <cellStyle name="Comma 4 2 3 3 8 2 3" xfId="23854" xr:uid="{758A72BE-23F3-4C0C-B62B-2F0CF6EB7878}"/>
    <cellStyle name="Comma 4 2 3 3 8 3" xfId="11208" xr:uid="{1E7002B0-2C83-4551-AA32-B929CA99D72C}"/>
    <cellStyle name="Comma 4 2 3 3 8 4" xfId="19637" xr:uid="{5315EA32-375B-4255-B0BA-4FEB0B3FC317}"/>
    <cellStyle name="Comma 4 2 3 3 9" xfId="4614" xr:uid="{00000000-0005-0000-0000-0000A0080000}"/>
    <cellStyle name="Comma 4 2 3 3 9 2" xfId="13043" xr:uid="{7B94270C-A757-4BEF-98EF-B61A0A54D78F}"/>
    <cellStyle name="Comma 4 2 3 3 9 3" xfId="21471" xr:uid="{96420AEF-84AA-4B54-A18B-326716A20C36}"/>
    <cellStyle name="Comma 4 2 3 4" xfId="675" xr:uid="{00000000-0005-0000-0000-0000A1080000}"/>
    <cellStyle name="Comma 4 2 3 4 2" xfId="2946" xr:uid="{00000000-0005-0000-0000-0000A2080000}"/>
    <cellStyle name="Comma 4 2 3 4 2 2" xfId="7170" xr:uid="{00000000-0005-0000-0000-0000A3080000}"/>
    <cellStyle name="Comma 4 2 3 4 2 2 2" xfId="15599" xr:uid="{B83FD07F-1052-4206-8D91-151226146025}"/>
    <cellStyle name="Comma 4 2 3 4 2 2 3" xfId="24027" xr:uid="{D785108A-E8FE-4DCD-B716-09176986BC56}"/>
    <cellStyle name="Comma 4 2 3 4 2 3" xfId="11381" xr:uid="{AA024F05-5180-4966-8CF5-F07AE72731D9}"/>
    <cellStyle name="Comma 4 2 3 4 2 4" xfId="19810" xr:uid="{D14649CA-8E65-4621-A99A-F6D1F9039E8F}"/>
    <cellStyle name="Comma 4 2 3 4 3" xfId="5025" xr:uid="{00000000-0005-0000-0000-0000A4080000}"/>
    <cellStyle name="Comma 4 2 3 4 3 2" xfId="13454" xr:uid="{12E373D8-3609-4CA0-8839-1410F786F084}"/>
    <cellStyle name="Comma 4 2 3 4 3 3" xfId="21882" xr:uid="{75A8428C-00A3-414C-BAAD-C58542DAEB17}"/>
    <cellStyle name="Comma 4 2 3 4 4" xfId="9236" xr:uid="{DE3B46AA-73B8-4D51-AA53-EC9C8A62A10C}"/>
    <cellStyle name="Comma 4 2 3 4 5" xfId="17665" xr:uid="{1FAD847A-8B58-48E5-A19C-580838FD4783}"/>
    <cellStyle name="Comma 4 2 3 5" xfId="1128" xr:uid="{00000000-0005-0000-0000-0000A5080000}"/>
    <cellStyle name="Comma 4 2 3 5 2" xfId="3359" xr:uid="{00000000-0005-0000-0000-0000A6080000}"/>
    <cellStyle name="Comma 4 2 3 5 2 2" xfId="7583" xr:uid="{00000000-0005-0000-0000-0000A7080000}"/>
    <cellStyle name="Comma 4 2 3 5 2 2 2" xfId="16012" xr:uid="{DE0F3179-A7B7-4D1F-942C-A1F64F354EB7}"/>
    <cellStyle name="Comma 4 2 3 5 2 2 3" xfId="24440" xr:uid="{99BADBA7-BC11-4D5B-AF7D-11A8EDE513CC}"/>
    <cellStyle name="Comma 4 2 3 5 2 3" xfId="11794" xr:uid="{2A9E95F7-F8D2-47AA-9A7B-5E6DA6A43D31}"/>
    <cellStyle name="Comma 4 2 3 5 2 4" xfId="20223" xr:uid="{54BAB0AB-B641-48EE-90ED-08A6046BBD0E}"/>
    <cellStyle name="Comma 4 2 3 5 3" xfId="5438" xr:uid="{00000000-0005-0000-0000-0000A8080000}"/>
    <cellStyle name="Comma 4 2 3 5 3 2" xfId="13867" xr:uid="{8EA5451F-5B1E-473B-B4B1-A38A3683BE9D}"/>
    <cellStyle name="Comma 4 2 3 5 3 3" xfId="22295" xr:uid="{0450DF2D-112E-484E-B0CD-8B26E4008119}"/>
    <cellStyle name="Comma 4 2 3 5 4" xfId="9649" xr:uid="{2905D622-EB0C-4445-A70B-DA9C2D2B1F38}"/>
    <cellStyle name="Comma 4 2 3 5 5" xfId="18078" xr:uid="{1B41BD86-5D32-43B1-B20E-444642840F21}"/>
    <cellStyle name="Comma 4 2 3 6" xfId="1542" xr:uid="{00000000-0005-0000-0000-0000A9080000}"/>
    <cellStyle name="Comma 4 2 3 6 2" xfId="3772" xr:uid="{00000000-0005-0000-0000-0000AA080000}"/>
    <cellStyle name="Comma 4 2 3 6 2 2" xfId="7996" xr:uid="{00000000-0005-0000-0000-0000AB080000}"/>
    <cellStyle name="Comma 4 2 3 6 2 2 2" xfId="16425" xr:uid="{DF0B01CE-3302-4A5E-AF59-34CA5D41A551}"/>
    <cellStyle name="Comma 4 2 3 6 2 2 3" xfId="24853" xr:uid="{0324E047-4BF5-4E27-91CF-65E982A7D3E8}"/>
    <cellStyle name="Comma 4 2 3 6 2 3" xfId="12207" xr:uid="{81FCCA41-E37C-472D-A251-3E6B53E538C5}"/>
    <cellStyle name="Comma 4 2 3 6 2 4" xfId="20636" xr:uid="{7FA92BA2-5A63-4754-936F-48DBB0C56852}"/>
    <cellStyle name="Comma 4 2 3 6 3" xfId="5851" xr:uid="{00000000-0005-0000-0000-0000AC080000}"/>
    <cellStyle name="Comma 4 2 3 6 3 2" xfId="14280" xr:uid="{03D87FB9-0919-4788-8BCF-900DF69D8E0E}"/>
    <cellStyle name="Comma 4 2 3 6 3 3" xfId="22708" xr:uid="{BD1EBCE2-577E-484A-BA3C-C5C0E8BF1A20}"/>
    <cellStyle name="Comma 4 2 3 6 4" xfId="10062" xr:uid="{1A9CC061-365F-4C73-90F6-6CEE029C1470}"/>
    <cellStyle name="Comma 4 2 3 6 5" xfId="18491" xr:uid="{97AD1366-4B5C-46DE-8804-589B37F8C634}"/>
    <cellStyle name="Comma 4 2 3 7" xfId="1956" xr:uid="{00000000-0005-0000-0000-0000AD080000}"/>
    <cellStyle name="Comma 4 2 3 7 2" xfId="4185" xr:uid="{00000000-0005-0000-0000-0000AE080000}"/>
    <cellStyle name="Comma 4 2 3 7 2 2" xfId="8409" xr:uid="{00000000-0005-0000-0000-0000AF080000}"/>
    <cellStyle name="Comma 4 2 3 7 2 2 2" xfId="16838" xr:uid="{92763249-20F5-47F2-8604-BB3BD73D3827}"/>
    <cellStyle name="Comma 4 2 3 7 2 2 3" xfId="25266" xr:uid="{263026AD-6B1C-49CC-AE6E-81CE90867BE7}"/>
    <cellStyle name="Comma 4 2 3 7 2 3" xfId="12620" xr:uid="{D1EA12E4-C4E0-468B-9D2D-0B8F03FC6114}"/>
    <cellStyle name="Comma 4 2 3 7 2 4" xfId="21049" xr:uid="{E054A1B4-A4A1-4C21-BDA8-BDBBA22FD993}"/>
    <cellStyle name="Comma 4 2 3 7 3" xfId="6264" xr:uid="{00000000-0005-0000-0000-0000B0080000}"/>
    <cellStyle name="Comma 4 2 3 7 3 2" xfId="14693" xr:uid="{DB580072-6415-47A5-8393-707F260E006E}"/>
    <cellStyle name="Comma 4 2 3 7 3 3" xfId="23121" xr:uid="{220E2877-6EAA-4C92-B0E4-21E4A59F21DB}"/>
    <cellStyle name="Comma 4 2 3 7 4" xfId="10475" xr:uid="{0E45B2C9-AA84-45EC-AC3B-18BED76E9396}"/>
    <cellStyle name="Comma 4 2 3 7 5" xfId="18904" xr:uid="{514805E6-9116-4D02-A3A1-27368A5D7497}"/>
    <cellStyle name="Comma 4 2 3 8" xfId="2391" xr:uid="{00000000-0005-0000-0000-0000B1080000}"/>
    <cellStyle name="Comma 4 2 3 8 2" xfId="6677" xr:uid="{00000000-0005-0000-0000-0000B2080000}"/>
    <cellStyle name="Comma 4 2 3 8 2 2" xfId="15106" xr:uid="{E081D3CC-00A7-45A3-8CF8-DF5FC397C450}"/>
    <cellStyle name="Comma 4 2 3 8 2 3" xfId="23534" xr:uid="{14B33575-0B52-4701-A86E-88049A4576D3}"/>
    <cellStyle name="Comma 4 2 3 8 3" xfId="10888" xr:uid="{2420C88D-4268-497B-9C68-409F8EFA7163}"/>
    <cellStyle name="Comma 4 2 3 8 4" xfId="19317" xr:uid="{57DBAB03-C650-46EB-8C56-8D381BFC36EC}"/>
    <cellStyle name="Comma 4 2 3 9" xfId="2374" xr:uid="{00000000-0005-0000-0000-0000B3080000}"/>
    <cellStyle name="Comma 4 2 4" xfId="140" xr:uid="{00000000-0005-0000-0000-0000B4080000}"/>
    <cellStyle name="Comma 4 2 4 10" xfId="4615" xr:uid="{00000000-0005-0000-0000-0000B5080000}"/>
    <cellStyle name="Comma 4 2 4 10 2" xfId="13044" xr:uid="{565235EC-FDDC-41AE-92B6-C34BA41A76F2}"/>
    <cellStyle name="Comma 4 2 4 10 3" xfId="21472" xr:uid="{AA11C5D1-C463-4E0F-AA68-3837E3719E51}"/>
    <cellStyle name="Comma 4 2 4 11" xfId="8826" xr:uid="{FD4A1BCB-794C-4692-8349-D72B3E71375A}"/>
    <cellStyle name="Comma 4 2 4 12" xfId="17255" xr:uid="{EB2A48A9-0B8D-43F7-8D1F-10D670D69E4C}"/>
    <cellStyle name="Comma 4 2 4 2" xfId="141" xr:uid="{00000000-0005-0000-0000-0000B6080000}"/>
    <cellStyle name="Comma 4 2 4 2 10" xfId="8827" xr:uid="{F5449DC8-F8F3-4E53-A821-95312AE1E3BE}"/>
    <cellStyle name="Comma 4 2 4 2 11" xfId="17256" xr:uid="{D62DB16C-1582-4F48-A9A0-EDF0F1486797}"/>
    <cellStyle name="Comma 4 2 4 2 2" xfId="680" xr:uid="{00000000-0005-0000-0000-0000B7080000}"/>
    <cellStyle name="Comma 4 2 4 2 2 2" xfId="2951" xr:uid="{00000000-0005-0000-0000-0000B8080000}"/>
    <cellStyle name="Comma 4 2 4 2 2 2 2" xfId="7175" xr:uid="{00000000-0005-0000-0000-0000B9080000}"/>
    <cellStyle name="Comma 4 2 4 2 2 2 2 2" xfId="15604" xr:uid="{0FD4AFC4-6896-4927-999A-489177C99B38}"/>
    <cellStyle name="Comma 4 2 4 2 2 2 2 3" xfId="24032" xr:uid="{29379DDC-A62B-4155-9927-32372E59AC73}"/>
    <cellStyle name="Comma 4 2 4 2 2 2 3" xfId="11386" xr:uid="{6D409217-7D96-488C-8A67-EB6E4AB94D9F}"/>
    <cellStyle name="Comma 4 2 4 2 2 2 4" xfId="19815" xr:uid="{00B06FD4-B398-40E1-99E5-A9C0E776DDCA}"/>
    <cellStyle name="Comma 4 2 4 2 2 3" xfId="5030" xr:uid="{00000000-0005-0000-0000-0000BA080000}"/>
    <cellStyle name="Comma 4 2 4 2 2 3 2" xfId="13459" xr:uid="{C8113C48-45B2-41C7-969D-D4EB2B3B29FE}"/>
    <cellStyle name="Comma 4 2 4 2 2 3 3" xfId="21887" xr:uid="{1C2362BE-2A96-4C97-A1AB-51A7E457232A}"/>
    <cellStyle name="Comma 4 2 4 2 2 4" xfId="9241" xr:uid="{FF8331A5-D384-463C-BD18-0B8A3111E101}"/>
    <cellStyle name="Comma 4 2 4 2 2 5" xfId="17670" xr:uid="{C9C3BF97-618A-48DA-97DF-BFE6CF47E334}"/>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7" xr:uid="{C7E4D482-A533-43BC-8148-945A4026E9FA}"/>
    <cellStyle name="Comma 4 2 4 2 3 2 2 3" xfId="24445" xr:uid="{CF16A6E0-7FC6-48B8-9845-E623E0219644}"/>
    <cellStyle name="Comma 4 2 4 2 3 2 3" xfId="11799" xr:uid="{D0305C5D-77B5-497B-ADCC-BFADB25BCA91}"/>
    <cellStyle name="Comma 4 2 4 2 3 2 4" xfId="20228" xr:uid="{6E204B30-EF5C-466B-A7BC-268D0000EE80}"/>
    <cellStyle name="Comma 4 2 4 2 3 3" xfId="5443" xr:uid="{00000000-0005-0000-0000-0000BE080000}"/>
    <cellStyle name="Comma 4 2 4 2 3 3 2" xfId="13872" xr:uid="{B693E880-3281-47CE-9902-B008EC498EEA}"/>
    <cellStyle name="Comma 4 2 4 2 3 3 3" xfId="22300" xr:uid="{307C1315-1EC8-49EF-966D-C1372DC66780}"/>
    <cellStyle name="Comma 4 2 4 2 3 4" xfId="9654" xr:uid="{3EAE2C73-25B5-4EF6-8C3E-999BC5FD4114}"/>
    <cellStyle name="Comma 4 2 4 2 3 5" xfId="18083" xr:uid="{B086794B-750F-4DB2-8705-40A466FC6460}"/>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30" xr:uid="{A80D8638-E0A7-4943-AE1A-37B95797CD91}"/>
    <cellStyle name="Comma 4 2 4 2 4 2 2 3" xfId="24858" xr:uid="{4D41A8A3-319B-49F8-9B5C-FA576B49F4EF}"/>
    <cellStyle name="Comma 4 2 4 2 4 2 3" xfId="12212" xr:uid="{3620C2B5-E81D-48C3-BFAA-D7ADA6EE040C}"/>
    <cellStyle name="Comma 4 2 4 2 4 2 4" xfId="20641" xr:uid="{DE631834-DF82-47DA-BB14-F114E8309D74}"/>
    <cellStyle name="Comma 4 2 4 2 4 3" xfId="5856" xr:uid="{00000000-0005-0000-0000-0000C2080000}"/>
    <cellStyle name="Comma 4 2 4 2 4 3 2" xfId="14285" xr:uid="{7E66213C-B1A2-4770-A1C5-256B336BD6FD}"/>
    <cellStyle name="Comma 4 2 4 2 4 3 3" xfId="22713" xr:uid="{335785BC-61E6-4A1E-81C8-46F806DEA2BF}"/>
    <cellStyle name="Comma 4 2 4 2 4 4" xfId="10067" xr:uid="{4F07A1D6-BA51-4ED5-A3C3-5821680B5D91}"/>
    <cellStyle name="Comma 4 2 4 2 4 5" xfId="18496" xr:uid="{E6181101-3D35-4740-9173-E4DD2711A717}"/>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43" xr:uid="{402B3B3D-3DCF-4CD7-9C8E-52C860824477}"/>
    <cellStyle name="Comma 4 2 4 2 5 2 2 3" xfId="25271" xr:uid="{1AD644FC-9A25-462A-8C9A-D31F443CD684}"/>
    <cellStyle name="Comma 4 2 4 2 5 2 3" xfId="12625" xr:uid="{A6359940-EC02-421C-A874-04EC9ECF9990}"/>
    <cellStyle name="Comma 4 2 4 2 5 2 4" xfId="21054" xr:uid="{0A9BA534-7A1C-4BEB-A7EB-790DD35DF91F}"/>
    <cellStyle name="Comma 4 2 4 2 5 3" xfId="6269" xr:uid="{00000000-0005-0000-0000-0000C6080000}"/>
    <cellStyle name="Comma 4 2 4 2 5 3 2" xfId="14698" xr:uid="{70EE247B-4BFA-4EE2-88AD-D60A635873AE}"/>
    <cellStyle name="Comma 4 2 4 2 5 3 3" xfId="23126" xr:uid="{5DEA1803-2BE9-49F4-A617-9F40F54C7A6D}"/>
    <cellStyle name="Comma 4 2 4 2 5 4" xfId="10480" xr:uid="{57253667-121E-44FB-BBDC-D12D9580FC74}"/>
    <cellStyle name="Comma 4 2 4 2 5 5" xfId="18909" xr:uid="{975467E2-BB01-4CA4-83AD-E34BC299B646}"/>
    <cellStyle name="Comma 4 2 4 2 6" xfId="2396" xr:uid="{00000000-0005-0000-0000-0000C7080000}"/>
    <cellStyle name="Comma 4 2 4 2 6 2" xfId="6682" xr:uid="{00000000-0005-0000-0000-0000C8080000}"/>
    <cellStyle name="Comma 4 2 4 2 6 2 2" xfId="15111" xr:uid="{AD4EEC51-E555-4F33-AF83-B3DDB56A25F5}"/>
    <cellStyle name="Comma 4 2 4 2 6 2 3" xfId="23539" xr:uid="{55F21122-AB19-4463-B02D-BA293BCC4B97}"/>
    <cellStyle name="Comma 4 2 4 2 6 3" xfId="10893" xr:uid="{F1F4E75D-4B87-4D47-B52B-AF4945E603A9}"/>
    <cellStyle name="Comma 4 2 4 2 6 4" xfId="19322" xr:uid="{D16DAD5F-14B1-4499-B8F0-3EB139835870}"/>
    <cellStyle name="Comma 4 2 4 2 7" xfId="2369" xr:uid="{00000000-0005-0000-0000-0000C9080000}"/>
    <cellStyle name="Comma 4 2 4 2 8" xfId="2774" xr:uid="{00000000-0005-0000-0000-0000CA080000}"/>
    <cellStyle name="Comma 4 2 4 2 8 2" xfId="6999" xr:uid="{00000000-0005-0000-0000-0000CB080000}"/>
    <cellStyle name="Comma 4 2 4 2 8 2 2" xfId="15428" xr:uid="{13F646CC-B9F3-4D05-8B50-BC8137BA4CBA}"/>
    <cellStyle name="Comma 4 2 4 2 8 2 3" xfId="23856" xr:uid="{51D207ED-C97A-4652-85FF-7432CEC823EF}"/>
    <cellStyle name="Comma 4 2 4 2 8 3" xfId="11210" xr:uid="{DD641CC9-08CB-4B61-B6CC-28E04D4326A2}"/>
    <cellStyle name="Comma 4 2 4 2 8 4" xfId="19639" xr:uid="{94B59CBD-3390-4411-88C7-F9BCA1698F44}"/>
    <cellStyle name="Comma 4 2 4 2 9" xfId="4616" xr:uid="{00000000-0005-0000-0000-0000CC080000}"/>
    <cellStyle name="Comma 4 2 4 2 9 2" xfId="13045" xr:uid="{C3C3BF2F-15D8-45C8-801C-876A6C390E16}"/>
    <cellStyle name="Comma 4 2 4 2 9 3" xfId="21473" xr:uid="{8AC841EB-4786-4D1E-ABCB-BE00523F1B32}"/>
    <cellStyle name="Comma 4 2 4 3" xfId="679" xr:uid="{00000000-0005-0000-0000-0000CD080000}"/>
    <cellStyle name="Comma 4 2 4 3 2" xfId="2950" xr:uid="{00000000-0005-0000-0000-0000CE080000}"/>
    <cellStyle name="Comma 4 2 4 3 2 2" xfId="7174" xr:uid="{00000000-0005-0000-0000-0000CF080000}"/>
    <cellStyle name="Comma 4 2 4 3 2 2 2" xfId="15603" xr:uid="{2E27125F-F8C9-49E3-932B-17E3E81EA5E3}"/>
    <cellStyle name="Comma 4 2 4 3 2 2 3" xfId="24031" xr:uid="{C614A436-49A7-4E69-907C-463AB539A8CC}"/>
    <cellStyle name="Comma 4 2 4 3 2 3" xfId="11385" xr:uid="{7197791F-D094-4352-8E4D-036ED12182F5}"/>
    <cellStyle name="Comma 4 2 4 3 2 4" xfId="19814" xr:uid="{BE9490A6-F4F2-408C-ADFC-EC156FCB211D}"/>
    <cellStyle name="Comma 4 2 4 3 3" xfId="5029" xr:uid="{00000000-0005-0000-0000-0000D0080000}"/>
    <cellStyle name="Comma 4 2 4 3 3 2" xfId="13458" xr:uid="{EF8D4AB6-F940-4616-BA74-1BE9DA7832DC}"/>
    <cellStyle name="Comma 4 2 4 3 3 3" xfId="21886" xr:uid="{69C6CB3C-682D-48DE-9D02-42AEE44425C5}"/>
    <cellStyle name="Comma 4 2 4 3 4" xfId="9240" xr:uid="{EDE1CBCA-B9D2-4F87-8F38-708689AAABD5}"/>
    <cellStyle name="Comma 4 2 4 3 5" xfId="17669" xr:uid="{88A81986-F6F6-4CBD-ACD7-D85D02F461CF}"/>
    <cellStyle name="Comma 4 2 4 4" xfId="1132" xr:uid="{00000000-0005-0000-0000-0000D1080000}"/>
    <cellStyle name="Comma 4 2 4 4 2" xfId="3363" xr:uid="{00000000-0005-0000-0000-0000D2080000}"/>
    <cellStyle name="Comma 4 2 4 4 2 2" xfId="7587" xr:uid="{00000000-0005-0000-0000-0000D3080000}"/>
    <cellStyle name="Comma 4 2 4 4 2 2 2" xfId="16016" xr:uid="{48C0C351-22E7-458D-BB7B-E958DFE4B97E}"/>
    <cellStyle name="Comma 4 2 4 4 2 2 3" xfId="24444" xr:uid="{8B884255-C0D7-4138-9DD0-A38994865BAA}"/>
    <cellStyle name="Comma 4 2 4 4 2 3" xfId="11798" xr:uid="{6D06EACB-2189-44BA-9A22-37258E72C3FC}"/>
    <cellStyle name="Comma 4 2 4 4 2 4" xfId="20227" xr:uid="{77AC76BA-6B02-4031-A043-1AB019F5F2C8}"/>
    <cellStyle name="Comma 4 2 4 4 3" xfId="5442" xr:uid="{00000000-0005-0000-0000-0000D4080000}"/>
    <cellStyle name="Comma 4 2 4 4 3 2" xfId="13871" xr:uid="{6D70F7F8-90FA-42F9-BF1E-5634DFB654F6}"/>
    <cellStyle name="Comma 4 2 4 4 3 3" xfId="22299" xr:uid="{468A924B-9685-4302-BF62-A7769C31D172}"/>
    <cellStyle name="Comma 4 2 4 4 4" xfId="9653" xr:uid="{DC63E63B-EFBA-443D-8C20-17A43135EDB2}"/>
    <cellStyle name="Comma 4 2 4 4 5" xfId="18082" xr:uid="{1F620D89-5F03-4498-B677-66D751BCD370}"/>
    <cellStyle name="Comma 4 2 4 5" xfId="1546" xr:uid="{00000000-0005-0000-0000-0000D5080000}"/>
    <cellStyle name="Comma 4 2 4 5 2" xfId="3776" xr:uid="{00000000-0005-0000-0000-0000D6080000}"/>
    <cellStyle name="Comma 4 2 4 5 2 2" xfId="8000" xr:uid="{00000000-0005-0000-0000-0000D7080000}"/>
    <cellStyle name="Comma 4 2 4 5 2 2 2" xfId="16429" xr:uid="{7D10009B-0B84-4801-BBAA-BB5EAAF7AACE}"/>
    <cellStyle name="Comma 4 2 4 5 2 2 3" xfId="24857" xr:uid="{2B57E7B1-D7B9-44F9-B43B-12EAEC8A2997}"/>
    <cellStyle name="Comma 4 2 4 5 2 3" xfId="12211" xr:uid="{01E156DC-8518-42D8-9BCF-7E1329178D2E}"/>
    <cellStyle name="Comma 4 2 4 5 2 4" xfId="20640" xr:uid="{DE1CA3D0-F49B-4723-BD09-E88F726CEAF8}"/>
    <cellStyle name="Comma 4 2 4 5 3" xfId="5855" xr:uid="{00000000-0005-0000-0000-0000D8080000}"/>
    <cellStyle name="Comma 4 2 4 5 3 2" xfId="14284" xr:uid="{ABE1556A-C867-491A-BE9F-8AB4E94AB74B}"/>
    <cellStyle name="Comma 4 2 4 5 3 3" xfId="22712" xr:uid="{5B1F7999-0655-4C96-8525-1A686A9B73EC}"/>
    <cellStyle name="Comma 4 2 4 5 4" xfId="10066" xr:uid="{A2C389A5-3EC3-41DE-892D-1BE4C71AC93C}"/>
    <cellStyle name="Comma 4 2 4 5 5" xfId="18495" xr:uid="{D9BCB85D-6DD2-4208-88FD-B4414C71AAD8}"/>
    <cellStyle name="Comma 4 2 4 6" xfId="1960" xr:uid="{00000000-0005-0000-0000-0000D9080000}"/>
    <cellStyle name="Comma 4 2 4 6 2" xfId="4189" xr:uid="{00000000-0005-0000-0000-0000DA080000}"/>
    <cellStyle name="Comma 4 2 4 6 2 2" xfId="8413" xr:uid="{00000000-0005-0000-0000-0000DB080000}"/>
    <cellStyle name="Comma 4 2 4 6 2 2 2" xfId="16842" xr:uid="{D7D0E105-C70D-444F-BAF8-93005ACC1D1E}"/>
    <cellStyle name="Comma 4 2 4 6 2 2 3" xfId="25270" xr:uid="{961D4D6F-9414-4620-A0ED-506A54A1D595}"/>
    <cellStyle name="Comma 4 2 4 6 2 3" xfId="12624" xr:uid="{11E5AA66-1908-464D-BA4E-E5BAA1FB6AA0}"/>
    <cellStyle name="Comma 4 2 4 6 2 4" xfId="21053" xr:uid="{7597AC38-FFD3-41FE-A159-F9C7AF7B2EC6}"/>
    <cellStyle name="Comma 4 2 4 6 3" xfId="6268" xr:uid="{00000000-0005-0000-0000-0000DC080000}"/>
    <cellStyle name="Comma 4 2 4 6 3 2" xfId="14697" xr:uid="{925A4E05-1E29-49E1-A997-E8B68D338E4E}"/>
    <cellStyle name="Comma 4 2 4 6 3 3" xfId="23125" xr:uid="{394D7A56-CC63-4F39-BB9E-DE4957389A7E}"/>
    <cellStyle name="Comma 4 2 4 6 4" xfId="10479" xr:uid="{A094852E-6CB9-4168-AF8B-42D93AC4E008}"/>
    <cellStyle name="Comma 4 2 4 6 5" xfId="18908" xr:uid="{2FE4DF0E-563C-4215-ACD4-2A498F65ACAF}"/>
    <cellStyle name="Comma 4 2 4 7" xfId="2395" xr:uid="{00000000-0005-0000-0000-0000DD080000}"/>
    <cellStyle name="Comma 4 2 4 7 2" xfId="6681" xr:uid="{00000000-0005-0000-0000-0000DE080000}"/>
    <cellStyle name="Comma 4 2 4 7 2 2" xfId="15110" xr:uid="{6C027228-484A-4894-B0AA-D1F4C720FE66}"/>
    <cellStyle name="Comma 4 2 4 7 2 3" xfId="23538" xr:uid="{8ED9F70E-6017-4ED8-939A-CD3835A11197}"/>
    <cellStyle name="Comma 4 2 4 7 3" xfId="10892" xr:uid="{FE818FD4-66ED-4847-9483-B703B98D08AD}"/>
    <cellStyle name="Comma 4 2 4 7 4" xfId="19321" xr:uid="{8F1203D4-E197-4C0B-A11F-0FCF575D91DA}"/>
    <cellStyle name="Comma 4 2 4 8" xfId="2370" xr:uid="{00000000-0005-0000-0000-0000DF080000}"/>
    <cellStyle name="Comma 4 2 4 9" xfId="2773" xr:uid="{00000000-0005-0000-0000-0000E0080000}"/>
    <cellStyle name="Comma 4 2 4 9 2" xfId="6998" xr:uid="{00000000-0005-0000-0000-0000E1080000}"/>
    <cellStyle name="Comma 4 2 4 9 2 2" xfId="15427" xr:uid="{B3F9641C-D5BA-4BFC-839B-2C7109491CCE}"/>
    <cellStyle name="Comma 4 2 4 9 2 3" xfId="23855" xr:uid="{12936F75-5115-44C1-9998-7B1817AC65DE}"/>
    <cellStyle name="Comma 4 2 4 9 3" xfId="11209" xr:uid="{A9353326-F03C-42BE-83FF-13B882C70542}"/>
    <cellStyle name="Comma 4 2 4 9 4" xfId="19638" xr:uid="{A376D8E2-2EBD-44EB-AC4A-8664E8C1BD71}"/>
    <cellStyle name="Comma 4 2 5" xfId="142" xr:uid="{00000000-0005-0000-0000-0000E2080000}"/>
    <cellStyle name="Comma 4 2 5 10" xfId="8828" xr:uid="{78AF12C7-882C-4B47-BB08-F1F7575B1EB1}"/>
    <cellStyle name="Comma 4 2 5 11" xfId="17257" xr:uid="{F50DD39B-8241-4D71-BA32-0EC71713DA42}"/>
    <cellStyle name="Comma 4 2 5 2" xfId="681" xr:uid="{00000000-0005-0000-0000-0000E3080000}"/>
    <cellStyle name="Comma 4 2 5 2 2" xfId="2952" xr:uid="{00000000-0005-0000-0000-0000E4080000}"/>
    <cellStyle name="Comma 4 2 5 2 2 2" xfId="7176" xr:uid="{00000000-0005-0000-0000-0000E5080000}"/>
    <cellStyle name="Comma 4 2 5 2 2 2 2" xfId="15605" xr:uid="{4FD638D6-E193-4301-9D16-8DDAC7C286A8}"/>
    <cellStyle name="Comma 4 2 5 2 2 2 3" xfId="24033" xr:uid="{912035BB-0AD8-41CA-8CF2-1FE42FBC8E34}"/>
    <cellStyle name="Comma 4 2 5 2 2 3" xfId="11387" xr:uid="{43D10E0A-3867-487D-84E6-7E2341B69294}"/>
    <cellStyle name="Comma 4 2 5 2 2 4" xfId="19816" xr:uid="{8D98A576-4FAD-4AE8-A800-FB0A4647AA92}"/>
    <cellStyle name="Comma 4 2 5 2 3" xfId="5031" xr:uid="{00000000-0005-0000-0000-0000E6080000}"/>
    <cellStyle name="Comma 4 2 5 2 3 2" xfId="13460" xr:uid="{160774C5-5613-403B-AC8C-24567ECFE7AC}"/>
    <cellStyle name="Comma 4 2 5 2 3 3" xfId="21888" xr:uid="{185273FA-616C-43CA-B51D-69112544ED8A}"/>
    <cellStyle name="Comma 4 2 5 2 4" xfId="9242" xr:uid="{90DB501C-2C8F-4D14-94D1-74E9359D25B2}"/>
    <cellStyle name="Comma 4 2 5 2 5" xfId="17671" xr:uid="{97B96332-483C-4D40-91FE-69796AFE9A2C}"/>
    <cellStyle name="Comma 4 2 5 3" xfId="1134" xr:uid="{00000000-0005-0000-0000-0000E7080000}"/>
    <cellStyle name="Comma 4 2 5 3 2" xfId="3365" xr:uid="{00000000-0005-0000-0000-0000E8080000}"/>
    <cellStyle name="Comma 4 2 5 3 2 2" xfId="7589" xr:uid="{00000000-0005-0000-0000-0000E9080000}"/>
    <cellStyle name="Comma 4 2 5 3 2 2 2" xfId="16018" xr:uid="{21A33D8F-85E3-498D-AA05-C57180D4CDA4}"/>
    <cellStyle name="Comma 4 2 5 3 2 2 3" xfId="24446" xr:uid="{AC39469E-6CA6-4683-94D5-F42294550810}"/>
    <cellStyle name="Comma 4 2 5 3 2 3" xfId="11800" xr:uid="{365EBB68-6C71-4811-8E43-C24BFA6FF9E4}"/>
    <cellStyle name="Comma 4 2 5 3 2 4" xfId="20229" xr:uid="{6C71DAC5-E503-4AC7-88F1-33266C690D76}"/>
    <cellStyle name="Comma 4 2 5 3 3" xfId="5444" xr:uid="{00000000-0005-0000-0000-0000EA080000}"/>
    <cellStyle name="Comma 4 2 5 3 3 2" xfId="13873" xr:uid="{379B753A-A73E-4009-87A1-2024BD0550DB}"/>
    <cellStyle name="Comma 4 2 5 3 3 3" xfId="22301" xr:uid="{A8DDE286-05F5-4FF5-ABDF-BD4E19122942}"/>
    <cellStyle name="Comma 4 2 5 3 4" xfId="9655" xr:uid="{035C5DEA-E7F1-4431-A785-1FCA4AA52FD4}"/>
    <cellStyle name="Comma 4 2 5 3 5" xfId="18084" xr:uid="{3A9A3228-89E9-4C84-817D-220A46B545EA}"/>
    <cellStyle name="Comma 4 2 5 4" xfId="1548" xr:uid="{00000000-0005-0000-0000-0000EB080000}"/>
    <cellStyle name="Comma 4 2 5 4 2" xfId="3778" xr:uid="{00000000-0005-0000-0000-0000EC080000}"/>
    <cellStyle name="Comma 4 2 5 4 2 2" xfId="8002" xr:uid="{00000000-0005-0000-0000-0000ED080000}"/>
    <cellStyle name="Comma 4 2 5 4 2 2 2" xfId="16431" xr:uid="{6F1870B9-17CD-40EF-A586-483044F55980}"/>
    <cellStyle name="Comma 4 2 5 4 2 2 3" xfId="24859" xr:uid="{A1D99449-A584-4B7C-8F10-EB5CC1CBEE2D}"/>
    <cellStyle name="Comma 4 2 5 4 2 3" xfId="12213" xr:uid="{FCF3A8F1-3DBD-4744-8830-410952D9AFC1}"/>
    <cellStyle name="Comma 4 2 5 4 2 4" xfId="20642" xr:uid="{9BB4683E-7B91-4B9F-AD87-A628104D7089}"/>
    <cellStyle name="Comma 4 2 5 4 3" xfId="5857" xr:uid="{00000000-0005-0000-0000-0000EE080000}"/>
    <cellStyle name="Comma 4 2 5 4 3 2" xfId="14286" xr:uid="{77091D01-E561-4BD3-80FD-52651BFB5D26}"/>
    <cellStyle name="Comma 4 2 5 4 3 3" xfId="22714" xr:uid="{6D23D8F9-679A-44D4-B126-BB81B68F0CC9}"/>
    <cellStyle name="Comma 4 2 5 4 4" xfId="10068" xr:uid="{BA314E8A-BBAC-48A2-B894-12359FFC47D2}"/>
    <cellStyle name="Comma 4 2 5 4 5" xfId="18497" xr:uid="{B7289057-2A0D-4CBB-9630-6F33D5053C20}"/>
    <cellStyle name="Comma 4 2 5 5" xfId="1962" xr:uid="{00000000-0005-0000-0000-0000EF080000}"/>
    <cellStyle name="Comma 4 2 5 5 2" xfId="4191" xr:uid="{00000000-0005-0000-0000-0000F0080000}"/>
    <cellStyle name="Comma 4 2 5 5 2 2" xfId="8415" xr:uid="{00000000-0005-0000-0000-0000F1080000}"/>
    <cellStyle name="Comma 4 2 5 5 2 2 2" xfId="16844" xr:uid="{61A52340-21D0-41E9-971E-A92AF0751792}"/>
    <cellStyle name="Comma 4 2 5 5 2 2 3" xfId="25272" xr:uid="{B75D3B34-37F2-45C2-A8B4-D63BCA5A8A37}"/>
    <cellStyle name="Comma 4 2 5 5 2 3" xfId="12626" xr:uid="{B1B71F9C-66B8-45FC-87D0-E3E0E816FCB0}"/>
    <cellStyle name="Comma 4 2 5 5 2 4" xfId="21055" xr:uid="{A8899717-25FC-4F30-9B25-93D640230E05}"/>
    <cellStyle name="Comma 4 2 5 5 3" xfId="6270" xr:uid="{00000000-0005-0000-0000-0000F2080000}"/>
    <cellStyle name="Comma 4 2 5 5 3 2" xfId="14699" xr:uid="{1F47028B-C51A-493F-A7B3-B5F538115F53}"/>
    <cellStyle name="Comma 4 2 5 5 3 3" xfId="23127" xr:uid="{7C0C69F0-2CB6-4EBA-8C25-93A12277F2BF}"/>
    <cellStyle name="Comma 4 2 5 5 4" xfId="10481" xr:uid="{058743B9-DCD2-4120-B7FE-7380EF519D08}"/>
    <cellStyle name="Comma 4 2 5 5 5" xfId="18910" xr:uid="{599475AA-4919-4C1B-B676-88B79DD1495F}"/>
    <cellStyle name="Comma 4 2 5 6" xfId="2397" xr:uid="{00000000-0005-0000-0000-0000F3080000}"/>
    <cellStyle name="Comma 4 2 5 6 2" xfId="6683" xr:uid="{00000000-0005-0000-0000-0000F4080000}"/>
    <cellStyle name="Comma 4 2 5 6 2 2" xfId="15112" xr:uid="{277EAB0D-BC46-4F6B-8CB5-820ABA83C4B0}"/>
    <cellStyle name="Comma 4 2 5 6 2 3" xfId="23540" xr:uid="{324E6E5C-05BB-4F3C-8790-2B4F1C880461}"/>
    <cellStyle name="Comma 4 2 5 6 3" xfId="10894" xr:uid="{5881F7E8-1EB4-46E1-B7B1-2E75E314AB3E}"/>
    <cellStyle name="Comma 4 2 5 6 4" xfId="19323" xr:uid="{DCF0ACA8-ABFE-4074-B391-1F0BD08A5E46}"/>
    <cellStyle name="Comma 4 2 5 7" xfId="2368" xr:uid="{00000000-0005-0000-0000-0000F5080000}"/>
    <cellStyle name="Comma 4 2 5 8" xfId="2775" xr:uid="{00000000-0005-0000-0000-0000F6080000}"/>
    <cellStyle name="Comma 4 2 5 8 2" xfId="7000" xr:uid="{00000000-0005-0000-0000-0000F7080000}"/>
    <cellStyle name="Comma 4 2 5 8 2 2" xfId="15429" xr:uid="{10E7ABEB-D79D-4292-938F-8423F25C9073}"/>
    <cellStyle name="Comma 4 2 5 8 2 3" xfId="23857" xr:uid="{BA3C947B-ECA0-46C8-923D-9370331233C4}"/>
    <cellStyle name="Comma 4 2 5 8 3" xfId="11211" xr:uid="{17AA5B38-E98E-41A1-9119-7E660C2BAC95}"/>
    <cellStyle name="Comma 4 2 5 8 4" xfId="19640" xr:uid="{800B1BB3-1F38-4736-B326-21A2D5D29B56}"/>
    <cellStyle name="Comma 4 2 5 9" xfId="4617" xr:uid="{00000000-0005-0000-0000-0000F8080000}"/>
    <cellStyle name="Comma 4 2 5 9 2" xfId="13046" xr:uid="{22DEC1DB-78DE-40AD-8503-D5F7B512B1C0}"/>
    <cellStyle name="Comma 4 2 5 9 3" xfId="21474" xr:uid="{BD91BDBE-DDA0-4EDE-B63C-DC2258858293}"/>
    <cellStyle name="Comma 4 2 6" xfId="143" xr:uid="{00000000-0005-0000-0000-0000F9080000}"/>
    <cellStyle name="Comma 4 2 6 10" xfId="8829" xr:uid="{50C8CAF9-8F4B-4798-9454-479E09A4F7E5}"/>
    <cellStyle name="Comma 4 2 6 11" xfId="17258" xr:uid="{8E00020E-8FED-49A5-8147-157F6C30DFF8}"/>
    <cellStyle name="Comma 4 2 6 2" xfId="682" xr:uid="{00000000-0005-0000-0000-0000FA080000}"/>
    <cellStyle name="Comma 4 2 6 2 2" xfId="2953" xr:uid="{00000000-0005-0000-0000-0000FB080000}"/>
    <cellStyle name="Comma 4 2 6 2 2 2" xfId="7177" xr:uid="{00000000-0005-0000-0000-0000FC080000}"/>
    <cellStyle name="Comma 4 2 6 2 2 2 2" xfId="15606" xr:uid="{1E72AEDD-CCE9-4977-B501-D0E78F0AC844}"/>
    <cellStyle name="Comma 4 2 6 2 2 2 3" xfId="24034" xr:uid="{BE44D403-5C65-4BF5-B65C-FF6E4B97DA50}"/>
    <cellStyle name="Comma 4 2 6 2 2 3" xfId="11388" xr:uid="{7BE7157E-1C5C-4371-882E-F477E8837366}"/>
    <cellStyle name="Comma 4 2 6 2 2 4" xfId="19817" xr:uid="{97E1F35E-D04C-4AE7-A2F3-A06C3DCFAB84}"/>
    <cellStyle name="Comma 4 2 6 2 3" xfId="5032" xr:uid="{00000000-0005-0000-0000-0000FD080000}"/>
    <cellStyle name="Comma 4 2 6 2 3 2" xfId="13461" xr:uid="{0DC8D234-F062-466C-BDB0-EA1E0FB6916E}"/>
    <cellStyle name="Comma 4 2 6 2 3 3" xfId="21889" xr:uid="{BC15A64D-29D7-4424-A5BC-5A071267355F}"/>
    <cellStyle name="Comma 4 2 6 2 4" xfId="9243" xr:uid="{34FE0FD0-3BB1-42D1-8A48-246F7B09CD4B}"/>
    <cellStyle name="Comma 4 2 6 2 5" xfId="17672" xr:uid="{D3884405-BD11-4187-AAB2-65859FFAAC3C}"/>
    <cellStyle name="Comma 4 2 6 3" xfId="1135" xr:uid="{00000000-0005-0000-0000-0000FE080000}"/>
    <cellStyle name="Comma 4 2 6 3 2" xfId="3366" xr:uid="{00000000-0005-0000-0000-0000FF080000}"/>
    <cellStyle name="Comma 4 2 6 3 2 2" xfId="7590" xr:uid="{00000000-0005-0000-0000-000000090000}"/>
    <cellStyle name="Comma 4 2 6 3 2 2 2" xfId="16019" xr:uid="{115DBA0A-DEF3-4DB6-8E6C-547F4514585D}"/>
    <cellStyle name="Comma 4 2 6 3 2 2 3" xfId="24447" xr:uid="{AB081603-33AC-4CFB-AC31-B61A16420973}"/>
    <cellStyle name="Comma 4 2 6 3 2 3" xfId="11801" xr:uid="{2AC97312-0EB9-4032-A3B0-B828FBE64B02}"/>
    <cellStyle name="Comma 4 2 6 3 2 4" xfId="20230" xr:uid="{96DED1C7-7F26-4268-A83D-15DBB4D5241C}"/>
    <cellStyle name="Comma 4 2 6 3 3" xfId="5445" xr:uid="{00000000-0005-0000-0000-000001090000}"/>
    <cellStyle name="Comma 4 2 6 3 3 2" xfId="13874" xr:uid="{FBC6490A-F10A-48FE-BB4E-D3E7A26C7C35}"/>
    <cellStyle name="Comma 4 2 6 3 3 3" xfId="22302" xr:uid="{FD361C61-14A3-447F-9D7F-7E325609FB93}"/>
    <cellStyle name="Comma 4 2 6 3 4" xfId="9656" xr:uid="{4CF36F35-C05C-4093-B7A2-D903191E9F0C}"/>
    <cellStyle name="Comma 4 2 6 3 5" xfId="18085" xr:uid="{266DF26E-087E-4548-A4FF-89CCAD75CD07}"/>
    <cellStyle name="Comma 4 2 6 4" xfId="1549" xr:uid="{00000000-0005-0000-0000-000002090000}"/>
    <cellStyle name="Comma 4 2 6 4 2" xfId="3779" xr:uid="{00000000-0005-0000-0000-000003090000}"/>
    <cellStyle name="Comma 4 2 6 4 2 2" xfId="8003" xr:uid="{00000000-0005-0000-0000-000004090000}"/>
    <cellStyle name="Comma 4 2 6 4 2 2 2" xfId="16432" xr:uid="{196BD236-2B34-4948-9D13-CA1B872F2B88}"/>
    <cellStyle name="Comma 4 2 6 4 2 2 3" xfId="24860" xr:uid="{426E3B12-6E93-4092-B704-98048B81E687}"/>
    <cellStyle name="Comma 4 2 6 4 2 3" xfId="12214" xr:uid="{5286F57E-9465-4AF3-AACA-14D76031EC78}"/>
    <cellStyle name="Comma 4 2 6 4 2 4" xfId="20643" xr:uid="{2DFBFC97-7C78-4135-B22B-8B73822A0C90}"/>
    <cellStyle name="Comma 4 2 6 4 3" xfId="5858" xr:uid="{00000000-0005-0000-0000-000005090000}"/>
    <cellStyle name="Comma 4 2 6 4 3 2" xfId="14287" xr:uid="{1C0072E5-D3E9-4E9A-A52C-B14CBC2755AF}"/>
    <cellStyle name="Comma 4 2 6 4 3 3" xfId="22715" xr:uid="{AB592C8A-FFDF-4295-A7FE-935A94EE4A2A}"/>
    <cellStyle name="Comma 4 2 6 4 4" xfId="10069" xr:uid="{668E705F-E375-488E-9C53-E1FC9D814C1F}"/>
    <cellStyle name="Comma 4 2 6 4 5" xfId="18498" xr:uid="{62A1C0A5-1E7D-4528-99C3-5032831934E0}"/>
    <cellStyle name="Comma 4 2 6 5" xfId="1963" xr:uid="{00000000-0005-0000-0000-000006090000}"/>
    <cellStyle name="Comma 4 2 6 5 2" xfId="4192" xr:uid="{00000000-0005-0000-0000-000007090000}"/>
    <cellStyle name="Comma 4 2 6 5 2 2" xfId="8416" xr:uid="{00000000-0005-0000-0000-000008090000}"/>
    <cellStyle name="Comma 4 2 6 5 2 2 2" xfId="16845" xr:uid="{8D3A85DB-3971-480F-A017-68A019661FA7}"/>
    <cellStyle name="Comma 4 2 6 5 2 2 3" xfId="25273" xr:uid="{83395320-CEC0-499D-A494-EFF913FE603B}"/>
    <cellStyle name="Comma 4 2 6 5 2 3" xfId="12627" xr:uid="{DBF4ECEF-ECDF-4F73-8F24-D1B289CEBA60}"/>
    <cellStyle name="Comma 4 2 6 5 2 4" xfId="21056" xr:uid="{74071863-2ED4-4B52-8AAC-50C7E9D84B93}"/>
    <cellStyle name="Comma 4 2 6 5 3" xfId="6271" xr:uid="{00000000-0005-0000-0000-000009090000}"/>
    <cellStyle name="Comma 4 2 6 5 3 2" xfId="14700" xr:uid="{6AF2251E-BE8D-49A0-8127-C12B1DA78506}"/>
    <cellStyle name="Comma 4 2 6 5 3 3" xfId="23128" xr:uid="{A05D52C5-8005-4312-A19D-A019EBEC957A}"/>
    <cellStyle name="Comma 4 2 6 5 4" xfId="10482" xr:uid="{5AC93A97-E1C2-4B57-A49D-966FC160B62A}"/>
    <cellStyle name="Comma 4 2 6 5 5" xfId="18911" xr:uid="{00FB3436-3853-48A0-8B54-3A97EEF83EA3}"/>
    <cellStyle name="Comma 4 2 6 6" xfId="2398" xr:uid="{00000000-0005-0000-0000-00000A090000}"/>
    <cellStyle name="Comma 4 2 6 6 2" xfId="6684" xr:uid="{00000000-0005-0000-0000-00000B090000}"/>
    <cellStyle name="Comma 4 2 6 6 2 2" xfId="15113" xr:uid="{9B8DCA86-4E1A-4546-BFE0-0EE19BB5C331}"/>
    <cellStyle name="Comma 4 2 6 6 2 3" xfId="23541" xr:uid="{F601C99A-5EBD-4610-9A94-83A321BC15EC}"/>
    <cellStyle name="Comma 4 2 6 6 3" xfId="10895" xr:uid="{50156C63-B788-41BF-B503-0CD8A236D218}"/>
    <cellStyle name="Comma 4 2 6 6 4" xfId="19324" xr:uid="{9C3DF4A5-2F2F-49CF-B83B-B690D3831C7E}"/>
    <cellStyle name="Comma 4 2 6 7" xfId="2367" xr:uid="{00000000-0005-0000-0000-00000C090000}"/>
    <cellStyle name="Comma 4 2 6 8" xfId="2776" xr:uid="{00000000-0005-0000-0000-00000D090000}"/>
    <cellStyle name="Comma 4 2 6 8 2" xfId="7001" xr:uid="{00000000-0005-0000-0000-00000E090000}"/>
    <cellStyle name="Comma 4 2 6 8 2 2" xfId="15430" xr:uid="{9A29459D-06CF-47ED-B0C0-3691DDD2C764}"/>
    <cellStyle name="Comma 4 2 6 8 2 3" xfId="23858" xr:uid="{059DAFC9-2E9B-4C2F-B7B5-B3643194BA6C}"/>
    <cellStyle name="Comma 4 2 6 8 3" xfId="11212" xr:uid="{BE36AAA8-EF9D-4FBF-BCE6-F93FE8E11C3E}"/>
    <cellStyle name="Comma 4 2 6 8 4" xfId="19641" xr:uid="{84219CF1-7560-4FF5-A678-2EE7DAE77ECF}"/>
    <cellStyle name="Comma 4 2 6 9" xfId="4618" xr:uid="{00000000-0005-0000-0000-00000F090000}"/>
    <cellStyle name="Comma 4 2 6 9 2" xfId="13047" xr:uid="{00414DF5-7B7B-49C3-B7E8-C124246EA167}"/>
    <cellStyle name="Comma 4 2 6 9 3" xfId="21475" xr:uid="{D7BBDA67-4E57-4485-8496-04063C9683DB}"/>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31" xr:uid="{A1A9D1E6-7C74-4E8B-86F0-F549E037E556}"/>
    <cellStyle name="Comma 4 3 2 10 2 3" xfId="23859" xr:uid="{19C54E50-C940-4C93-9FCF-65A704BBD41D}"/>
    <cellStyle name="Comma 4 3 2 10 3" xfId="11213" xr:uid="{2BB3E729-72DC-43B1-A408-85CEA3E8A0F1}"/>
    <cellStyle name="Comma 4 3 2 10 4" xfId="19642" xr:uid="{4EAE2A50-1CF2-4F17-892E-C301F3738478}"/>
    <cellStyle name="Comma 4 3 2 11" xfId="4619" xr:uid="{00000000-0005-0000-0000-000014090000}"/>
    <cellStyle name="Comma 4 3 2 11 2" xfId="13048" xr:uid="{C8D45E2A-A77F-4619-BA5B-F5694F0DF7CD}"/>
    <cellStyle name="Comma 4 3 2 11 3" xfId="21476" xr:uid="{8C19C90A-C225-44C7-8AEB-F1229F2C2974}"/>
    <cellStyle name="Comma 4 3 2 12" xfId="8830" xr:uid="{16B516DA-7241-46CB-8AAA-50F56B43F270}"/>
    <cellStyle name="Comma 4 3 2 13" xfId="17259" xr:uid="{0CB26D28-C52F-4BB7-AC9F-2ED226DE5B72}"/>
    <cellStyle name="Comma 4 3 2 2" xfId="146" xr:uid="{00000000-0005-0000-0000-000015090000}"/>
    <cellStyle name="Comma 4 3 2 2 10" xfId="4620" xr:uid="{00000000-0005-0000-0000-000016090000}"/>
    <cellStyle name="Comma 4 3 2 2 10 2" xfId="13049" xr:uid="{BF4878FE-5C91-4A39-9A75-EAED98A9CF0A}"/>
    <cellStyle name="Comma 4 3 2 2 10 3" xfId="21477" xr:uid="{337344F8-C746-4942-AA86-83B3B41B4110}"/>
    <cellStyle name="Comma 4 3 2 2 11" xfId="8831" xr:uid="{4D8544C7-1710-4EED-B738-BC7706B2F0BB}"/>
    <cellStyle name="Comma 4 3 2 2 12" xfId="17260" xr:uid="{C3491372-5FBC-4076-A4B7-FEEF7FE3875F}"/>
    <cellStyle name="Comma 4 3 2 2 2" xfId="147" xr:uid="{00000000-0005-0000-0000-000017090000}"/>
    <cellStyle name="Comma 4 3 2 2 2 10" xfId="8832" xr:uid="{A3318FC8-6955-4759-AF47-233D602BE751}"/>
    <cellStyle name="Comma 4 3 2 2 2 11" xfId="17261" xr:uid="{9AA5656F-1100-4244-8C7A-8B061886AF24}"/>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9" xr:uid="{FAB44E95-4146-4FEA-89FA-F94D1DD23B72}"/>
    <cellStyle name="Comma 4 3 2 2 2 2 2 2 3" xfId="24037" xr:uid="{70E38C42-0C35-4A37-868D-5CE9D4C1C933}"/>
    <cellStyle name="Comma 4 3 2 2 2 2 2 3" xfId="11391" xr:uid="{EA5D92AD-CAA4-4144-91E8-0ACFE6CF4415}"/>
    <cellStyle name="Comma 4 3 2 2 2 2 2 4" xfId="19820" xr:uid="{55D4719E-A782-4ED2-96D7-68B4F5A553BB}"/>
    <cellStyle name="Comma 4 3 2 2 2 2 3" xfId="5035" xr:uid="{00000000-0005-0000-0000-00001B090000}"/>
    <cellStyle name="Comma 4 3 2 2 2 2 3 2" xfId="13464" xr:uid="{7F81F259-A287-4ED4-A2F5-BF663669DD78}"/>
    <cellStyle name="Comma 4 3 2 2 2 2 3 3" xfId="21892" xr:uid="{163082F1-354D-4E8F-ABE4-91D7232A15FF}"/>
    <cellStyle name="Comma 4 3 2 2 2 2 4" xfId="9246" xr:uid="{40F82648-0E56-4433-82A6-A4F08A8CADEF}"/>
    <cellStyle name="Comma 4 3 2 2 2 2 5" xfId="17675" xr:uid="{1607F0AE-B9DD-4D1F-B1F8-3468A60119F0}"/>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22" xr:uid="{EC5E5036-C964-4ABF-A72B-6692D9B4F05E}"/>
    <cellStyle name="Comma 4 3 2 2 2 3 2 2 3" xfId="24450" xr:uid="{7C644016-1779-476A-A953-9D900A2E4AF8}"/>
    <cellStyle name="Comma 4 3 2 2 2 3 2 3" xfId="11804" xr:uid="{5AD39E0B-AA8A-4239-ACD6-9888D3A18AE3}"/>
    <cellStyle name="Comma 4 3 2 2 2 3 2 4" xfId="20233" xr:uid="{62C726E0-3E49-4003-9DD1-368522E4EC2C}"/>
    <cellStyle name="Comma 4 3 2 2 2 3 3" xfId="5448" xr:uid="{00000000-0005-0000-0000-00001F090000}"/>
    <cellStyle name="Comma 4 3 2 2 2 3 3 2" xfId="13877" xr:uid="{A4D1A62D-D331-4749-966D-2301D9D5E828}"/>
    <cellStyle name="Comma 4 3 2 2 2 3 3 3" xfId="22305" xr:uid="{030171A0-1908-4EE8-89C0-6AA199EEE17D}"/>
    <cellStyle name="Comma 4 3 2 2 2 3 4" xfId="9659" xr:uid="{1032458C-5943-4B6B-A664-D57A8A912E75}"/>
    <cellStyle name="Comma 4 3 2 2 2 3 5" xfId="18088" xr:uid="{6275064B-28FA-41AA-80CA-4A6109030080}"/>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35" xr:uid="{E474665F-CCEF-43FF-8E28-7373C3A030BD}"/>
    <cellStyle name="Comma 4 3 2 2 2 4 2 2 3" xfId="24863" xr:uid="{4AEF7E91-2A0D-4E02-8BA5-28BF1E2F4F9D}"/>
    <cellStyle name="Comma 4 3 2 2 2 4 2 3" xfId="12217" xr:uid="{C28C28B5-CDB2-4608-8E00-4F83A200715E}"/>
    <cellStyle name="Comma 4 3 2 2 2 4 2 4" xfId="20646" xr:uid="{AD17676C-5CDD-4764-8926-420C14F20653}"/>
    <cellStyle name="Comma 4 3 2 2 2 4 3" xfId="5861" xr:uid="{00000000-0005-0000-0000-000023090000}"/>
    <cellStyle name="Comma 4 3 2 2 2 4 3 2" xfId="14290" xr:uid="{1F4800CE-F810-428E-84EE-F3073584D5A7}"/>
    <cellStyle name="Comma 4 3 2 2 2 4 3 3" xfId="22718" xr:uid="{086E91EA-81F7-4D10-AB11-4807E547B1DB}"/>
    <cellStyle name="Comma 4 3 2 2 2 4 4" xfId="10072" xr:uid="{5DFEC228-D2B8-4F36-9770-2208AF654F4A}"/>
    <cellStyle name="Comma 4 3 2 2 2 4 5" xfId="18501" xr:uid="{1794E6DC-CA67-411B-BE26-BAA0AC00A1CB}"/>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8" xr:uid="{B8B828E4-05B3-48DB-B988-B0F0D1D2EC04}"/>
    <cellStyle name="Comma 4 3 2 2 2 5 2 2 3" xfId="25276" xr:uid="{C5C33AB6-1FCD-4343-8996-D67B3A359649}"/>
    <cellStyle name="Comma 4 3 2 2 2 5 2 3" xfId="12630" xr:uid="{C38F00A1-1AF1-4D3E-A203-C516B640431A}"/>
    <cellStyle name="Comma 4 3 2 2 2 5 2 4" xfId="21059" xr:uid="{104804C8-9E05-4952-9254-34F72430DF6E}"/>
    <cellStyle name="Comma 4 3 2 2 2 5 3" xfId="6274" xr:uid="{00000000-0005-0000-0000-000027090000}"/>
    <cellStyle name="Comma 4 3 2 2 2 5 3 2" xfId="14703" xr:uid="{A697338D-15B8-4B99-988E-8C1571935EC2}"/>
    <cellStyle name="Comma 4 3 2 2 2 5 3 3" xfId="23131" xr:uid="{D9818D38-7AEC-4410-971D-B7A12BBD57C1}"/>
    <cellStyle name="Comma 4 3 2 2 2 5 4" xfId="10485" xr:uid="{B72F8450-8794-4F87-91BF-B46B47BB70BB}"/>
    <cellStyle name="Comma 4 3 2 2 2 5 5" xfId="18914" xr:uid="{6FFD40BC-9791-46CE-A3F0-5B62A08E695A}"/>
    <cellStyle name="Comma 4 3 2 2 2 6" xfId="2401" xr:uid="{00000000-0005-0000-0000-000028090000}"/>
    <cellStyle name="Comma 4 3 2 2 2 6 2" xfId="6687" xr:uid="{00000000-0005-0000-0000-000029090000}"/>
    <cellStyle name="Comma 4 3 2 2 2 6 2 2" xfId="15116" xr:uid="{65B6E26C-47B2-4107-84A0-DBC0815F72C5}"/>
    <cellStyle name="Comma 4 3 2 2 2 6 2 3" xfId="23544" xr:uid="{41D1CCD3-AF22-462A-861B-822947EBAC69}"/>
    <cellStyle name="Comma 4 3 2 2 2 6 3" xfId="10898" xr:uid="{4FA137D5-B231-4A96-8F5C-6F600C08AA41}"/>
    <cellStyle name="Comma 4 3 2 2 2 6 4" xfId="19327" xr:uid="{5CB562FB-9481-4974-939B-090BFE6CBAC3}"/>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33" xr:uid="{4484635A-37E3-467C-A4EB-1F7203C13051}"/>
    <cellStyle name="Comma 4 3 2 2 2 8 2 3" xfId="23861" xr:uid="{7E91CEF3-9570-4FA7-959D-DE97DC55B694}"/>
    <cellStyle name="Comma 4 3 2 2 2 8 3" xfId="11215" xr:uid="{E03797A8-4413-46F0-8FF8-39545D3BC932}"/>
    <cellStyle name="Comma 4 3 2 2 2 8 4" xfId="19644" xr:uid="{8BEC06B1-B5B6-4179-9667-8095CAD9176F}"/>
    <cellStyle name="Comma 4 3 2 2 2 9" xfId="4621" xr:uid="{00000000-0005-0000-0000-00002D090000}"/>
    <cellStyle name="Comma 4 3 2 2 2 9 2" xfId="13050" xr:uid="{321F7437-39BE-466E-9119-9362D406DEAE}"/>
    <cellStyle name="Comma 4 3 2 2 2 9 3" xfId="21478" xr:uid="{966B1277-2535-4011-80C8-FBDE24D82171}"/>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8" xr:uid="{84F3DA6A-4EB4-446B-A13E-24A3A8DF139E}"/>
    <cellStyle name="Comma 4 3 2 2 3 2 2 3" xfId="24036" xr:uid="{8E046057-5CA6-4ABB-A79C-608F61323095}"/>
    <cellStyle name="Comma 4 3 2 2 3 2 3" xfId="11390" xr:uid="{74512D75-14D1-4BAC-98DD-6F824B201618}"/>
    <cellStyle name="Comma 4 3 2 2 3 2 4" xfId="19819" xr:uid="{4AEEE8C0-0360-41D2-A6F8-232CE227D44F}"/>
    <cellStyle name="Comma 4 3 2 2 3 3" xfId="5034" xr:uid="{00000000-0005-0000-0000-000031090000}"/>
    <cellStyle name="Comma 4 3 2 2 3 3 2" xfId="13463" xr:uid="{7052AB70-3CF6-4BBB-B31B-1BC32ECB6CCC}"/>
    <cellStyle name="Comma 4 3 2 2 3 3 3" xfId="21891" xr:uid="{D0840762-8692-4557-82E2-8C1053470E6A}"/>
    <cellStyle name="Comma 4 3 2 2 3 4" xfId="9245" xr:uid="{DE707140-09AC-4502-9AC8-1D8FFC69CB6A}"/>
    <cellStyle name="Comma 4 3 2 2 3 5" xfId="17674" xr:uid="{A004ACB0-DEE9-4A42-AB28-8C32CE205492}"/>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21" xr:uid="{06F81332-0E1F-4B0D-ACC6-17B8A59CEA28}"/>
    <cellStyle name="Comma 4 3 2 2 4 2 2 3" xfId="24449" xr:uid="{1D1952DB-7081-421E-A432-F7091EED6078}"/>
    <cellStyle name="Comma 4 3 2 2 4 2 3" xfId="11803" xr:uid="{70CAA7B1-F635-44A5-A284-5A7BA8C2C939}"/>
    <cellStyle name="Comma 4 3 2 2 4 2 4" xfId="20232" xr:uid="{FE96C50D-2748-4EBF-86AD-E7453D0B1224}"/>
    <cellStyle name="Comma 4 3 2 2 4 3" xfId="5447" xr:uid="{00000000-0005-0000-0000-000035090000}"/>
    <cellStyle name="Comma 4 3 2 2 4 3 2" xfId="13876" xr:uid="{42379FF1-1E27-4A94-B5A0-DA3F4BA3E021}"/>
    <cellStyle name="Comma 4 3 2 2 4 3 3" xfId="22304" xr:uid="{A0A78BE3-BBD7-4F60-AE0F-CAF8BA3D69EE}"/>
    <cellStyle name="Comma 4 3 2 2 4 4" xfId="9658" xr:uid="{8EE858BA-C8E9-4C52-B300-086067C654A3}"/>
    <cellStyle name="Comma 4 3 2 2 4 5" xfId="18087" xr:uid="{1A571A2E-8C1A-4637-9AA9-C57AA743D6DE}"/>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34" xr:uid="{32E0DA58-F8FA-48A1-BDF0-2ADA1D45765C}"/>
    <cellStyle name="Comma 4 3 2 2 5 2 2 3" xfId="24862" xr:uid="{A8A48882-ECCF-4FA6-9C3E-912FD9FACFE8}"/>
    <cellStyle name="Comma 4 3 2 2 5 2 3" xfId="12216" xr:uid="{70D642B3-CBBE-4B8E-BE90-9A98E9C3D226}"/>
    <cellStyle name="Comma 4 3 2 2 5 2 4" xfId="20645" xr:uid="{1BF2A112-6DB3-495F-A056-1C6335FD7AE8}"/>
    <cellStyle name="Comma 4 3 2 2 5 3" xfId="5860" xr:uid="{00000000-0005-0000-0000-000039090000}"/>
    <cellStyle name="Comma 4 3 2 2 5 3 2" xfId="14289" xr:uid="{C93D7BD5-C052-4860-B3A7-1FBA8D1011FB}"/>
    <cellStyle name="Comma 4 3 2 2 5 3 3" xfId="22717" xr:uid="{24923335-DBE1-4D3B-AC6D-44C33C6A87C1}"/>
    <cellStyle name="Comma 4 3 2 2 5 4" xfId="10071" xr:uid="{14761C89-9860-4C62-8994-E28DFF8DC8DA}"/>
    <cellStyle name="Comma 4 3 2 2 5 5" xfId="18500" xr:uid="{98FA10D9-961D-4764-8EEF-D3C8981FCBED}"/>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7" xr:uid="{F509CBBC-BCC8-40D1-91BF-6945FD031357}"/>
    <cellStyle name="Comma 4 3 2 2 6 2 2 3" xfId="25275" xr:uid="{C7530700-C8F8-4F86-BBAB-A4FA5022614C}"/>
    <cellStyle name="Comma 4 3 2 2 6 2 3" xfId="12629" xr:uid="{D11151AC-428A-4CA0-BEBC-9775D548AF57}"/>
    <cellStyle name="Comma 4 3 2 2 6 2 4" xfId="21058" xr:uid="{A4E686A9-0B37-4341-8CAB-155D06B82D12}"/>
    <cellStyle name="Comma 4 3 2 2 6 3" xfId="6273" xr:uid="{00000000-0005-0000-0000-00003D090000}"/>
    <cellStyle name="Comma 4 3 2 2 6 3 2" xfId="14702" xr:uid="{266A3953-E951-4A7B-A19D-0D37BBD6F9B8}"/>
    <cellStyle name="Comma 4 3 2 2 6 3 3" xfId="23130" xr:uid="{BBD892F7-2862-44E9-9788-1FC0BB12BB92}"/>
    <cellStyle name="Comma 4 3 2 2 6 4" xfId="10484" xr:uid="{1DCCFF86-B5C2-4F2A-B3F8-2A9F9AB21299}"/>
    <cellStyle name="Comma 4 3 2 2 6 5" xfId="18913" xr:uid="{98D0AC9C-9EC0-47B6-8FF3-30CD3976EA65}"/>
    <cellStyle name="Comma 4 3 2 2 7" xfId="2400" xr:uid="{00000000-0005-0000-0000-00003E090000}"/>
    <cellStyle name="Comma 4 3 2 2 7 2" xfId="6686" xr:uid="{00000000-0005-0000-0000-00003F090000}"/>
    <cellStyle name="Comma 4 3 2 2 7 2 2" xfId="15115" xr:uid="{59C5D71A-EFD9-4FF7-8F54-48F4A8652735}"/>
    <cellStyle name="Comma 4 3 2 2 7 2 3" xfId="23543" xr:uid="{8C0960F7-F843-4BF5-AB45-591E487C2A16}"/>
    <cellStyle name="Comma 4 3 2 2 7 3" xfId="10897" xr:uid="{639DD9FD-661A-41A7-86C7-F9368D028F0B}"/>
    <cellStyle name="Comma 4 3 2 2 7 4" xfId="19326" xr:uid="{01CD3515-3B27-4F20-9A2A-C98CEC38B553}"/>
    <cellStyle name="Comma 4 3 2 2 8" xfId="2365" xr:uid="{00000000-0005-0000-0000-000040090000}"/>
    <cellStyle name="Comma 4 3 2 2 9" xfId="2778" xr:uid="{00000000-0005-0000-0000-000041090000}"/>
    <cellStyle name="Comma 4 3 2 2 9 2" xfId="7003" xr:uid="{00000000-0005-0000-0000-000042090000}"/>
    <cellStyle name="Comma 4 3 2 2 9 2 2" xfId="15432" xr:uid="{031CE5CC-26BD-45A8-93B9-C3B7C55ABBD5}"/>
    <cellStyle name="Comma 4 3 2 2 9 2 3" xfId="23860" xr:uid="{D6A4F969-81FE-4D46-B2ED-10E14106018B}"/>
    <cellStyle name="Comma 4 3 2 2 9 3" xfId="11214" xr:uid="{8D2CB0AC-F885-4451-A133-B5B76E54A35B}"/>
    <cellStyle name="Comma 4 3 2 2 9 4" xfId="19643" xr:uid="{ED317B89-3641-43CE-A67A-5A32A8EF40B7}"/>
    <cellStyle name="Comma 4 3 2 3" xfId="148" xr:uid="{00000000-0005-0000-0000-000043090000}"/>
    <cellStyle name="Comma 4 3 2 3 10" xfId="8833" xr:uid="{0A03FBD5-C3F6-4F86-8B41-ADA4042E4B49}"/>
    <cellStyle name="Comma 4 3 2 3 11" xfId="17262" xr:uid="{137AC706-22C0-4A18-9691-9289BFC45417}"/>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10" xr:uid="{2C023A84-E441-44CC-B1E9-97E4250583C8}"/>
    <cellStyle name="Comma 4 3 2 3 2 2 2 3" xfId="24038" xr:uid="{FBDAB095-84F8-4FE6-9D5F-0D39D582356D}"/>
    <cellStyle name="Comma 4 3 2 3 2 2 3" xfId="11392" xr:uid="{7CB71029-97A6-4A8C-B5B7-A84CD20D88C2}"/>
    <cellStyle name="Comma 4 3 2 3 2 2 4" xfId="19821" xr:uid="{98C9938C-5396-4BEC-B771-8E30B0458669}"/>
    <cellStyle name="Comma 4 3 2 3 2 3" xfId="5036" xr:uid="{00000000-0005-0000-0000-000047090000}"/>
    <cellStyle name="Comma 4 3 2 3 2 3 2" xfId="13465" xr:uid="{F79C89C7-8EF2-4A83-8010-686753D3E794}"/>
    <cellStyle name="Comma 4 3 2 3 2 3 3" xfId="21893" xr:uid="{90AED16E-874F-4C75-9392-893485DD1FFC}"/>
    <cellStyle name="Comma 4 3 2 3 2 4" xfId="9247" xr:uid="{0D8990BD-9ACC-4956-8A14-5DAB49A6C55E}"/>
    <cellStyle name="Comma 4 3 2 3 2 5" xfId="17676" xr:uid="{2DEA2856-6EA3-4DA2-897D-6332C3C9D66D}"/>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23" xr:uid="{2D881150-96F2-4FC3-9425-3BC05570A8B6}"/>
    <cellStyle name="Comma 4 3 2 3 3 2 2 3" xfId="24451" xr:uid="{F3F7D5DF-7CC8-411B-A654-5A23B8A22DB3}"/>
    <cellStyle name="Comma 4 3 2 3 3 2 3" xfId="11805" xr:uid="{EDB40B1C-35F4-4EBF-B952-C58A0EC10DCB}"/>
    <cellStyle name="Comma 4 3 2 3 3 2 4" xfId="20234" xr:uid="{72F4ED78-1D0C-44DC-AE31-BCA641C9CE23}"/>
    <cellStyle name="Comma 4 3 2 3 3 3" xfId="5449" xr:uid="{00000000-0005-0000-0000-00004B090000}"/>
    <cellStyle name="Comma 4 3 2 3 3 3 2" xfId="13878" xr:uid="{92310FD4-995C-4645-ADE8-7D74FD5B27A3}"/>
    <cellStyle name="Comma 4 3 2 3 3 3 3" xfId="22306" xr:uid="{74221909-5CE0-4010-B39A-C601590857EF}"/>
    <cellStyle name="Comma 4 3 2 3 3 4" xfId="9660" xr:uid="{8B47C4D9-BB98-4AD9-889E-295411484404}"/>
    <cellStyle name="Comma 4 3 2 3 3 5" xfId="18089" xr:uid="{BAFEA0FB-6A60-46FF-8F73-E32EA7BFBF85}"/>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36" xr:uid="{4277656F-2FB0-4A01-A696-2183388B1530}"/>
    <cellStyle name="Comma 4 3 2 3 4 2 2 3" xfId="24864" xr:uid="{601A5EBB-6328-4962-921D-05B2666DBDDD}"/>
    <cellStyle name="Comma 4 3 2 3 4 2 3" xfId="12218" xr:uid="{C9789FFB-E06B-4345-979A-38EF7DFF7E66}"/>
    <cellStyle name="Comma 4 3 2 3 4 2 4" xfId="20647" xr:uid="{0552159E-FAFE-49F9-990A-116811ACD5A7}"/>
    <cellStyle name="Comma 4 3 2 3 4 3" xfId="5862" xr:uid="{00000000-0005-0000-0000-00004F090000}"/>
    <cellStyle name="Comma 4 3 2 3 4 3 2" xfId="14291" xr:uid="{B68113B0-715A-497D-93FB-4842FB3532D1}"/>
    <cellStyle name="Comma 4 3 2 3 4 3 3" xfId="22719" xr:uid="{8C09D54B-4312-4146-80DE-10555D116705}"/>
    <cellStyle name="Comma 4 3 2 3 4 4" xfId="10073" xr:uid="{957C6F59-7512-4038-9FEF-D20EC5F3A96C}"/>
    <cellStyle name="Comma 4 3 2 3 4 5" xfId="18502" xr:uid="{1AE4FE7E-8D8B-44A0-83CF-A9412FAAABBA}"/>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9" xr:uid="{678B1464-31D0-48D7-83EE-930D34DC2EC6}"/>
    <cellStyle name="Comma 4 3 2 3 5 2 2 3" xfId="25277" xr:uid="{E5455BD1-5863-46AC-892B-38FF899C8007}"/>
    <cellStyle name="Comma 4 3 2 3 5 2 3" xfId="12631" xr:uid="{066E9F2D-AB36-4873-A15A-C8421C4F1F50}"/>
    <cellStyle name="Comma 4 3 2 3 5 2 4" xfId="21060" xr:uid="{03F489AC-175D-4428-8DCA-CC022C60DBE3}"/>
    <cellStyle name="Comma 4 3 2 3 5 3" xfId="6275" xr:uid="{00000000-0005-0000-0000-000053090000}"/>
    <cellStyle name="Comma 4 3 2 3 5 3 2" xfId="14704" xr:uid="{2E1FB654-2D3D-4546-BD8E-FC2B8BFA07AF}"/>
    <cellStyle name="Comma 4 3 2 3 5 3 3" xfId="23132" xr:uid="{CE5D02A6-49D9-4CF8-A7A1-D168E7DAB400}"/>
    <cellStyle name="Comma 4 3 2 3 5 4" xfId="10486" xr:uid="{B5E94E56-7CE7-4211-A003-63EF1796513C}"/>
    <cellStyle name="Comma 4 3 2 3 5 5" xfId="18915" xr:uid="{F18F5B4B-444A-4C84-BA70-B37073CFAD5F}"/>
    <cellStyle name="Comma 4 3 2 3 6" xfId="2402" xr:uid="{00000000-0005-0000-0000-000054090000}"/>
    <cellStyle name="Comma 4 3 2 3 6 2" xfId="6688" xr:uid="{00000000-0005-0000-0000-000055090000}"/>
    <cellStyle name="Comma 4 3 2 3 6 2 2" xfId="15117" xr:uid="{60135877-1483-40C6-ABB0-4257F3383CEB}"/>
    <cellStyle name="Comma 4 3 2 3 6 2 3" xfId="23545" xr:uid="{4D2643BB-1324-4AC8-9D80-B6576E943BB8}"/>
    <cellStyle name="Comma 4 3 2 3 6 3" xfId="10899" xr:uid="{BF55DA52-208A-4807-9339-658E7AA72DFF}"/>
    <cellStyle name="Comma 4 3 2 3 6 4" xfId="19328" xr:uid="{458FC6E7-ABDF-4B99-8C9A-896BE408CF48}"/>
    <cellStyle name="Comma 4 3 2 3 7" xfId="2363" xr:uid="{00000000-0005-0000-0000-000056090000}"/>
    <cellStyle name="Comma 4 3 2 3 8" xfId="2780" xr:uid="{00000000-0005-0000-0000-000057090000}"/>
    <cellStyle name="Comma 4 3 2 3 8 2" xfId="7005" xr:uid="{00000000-0005-0000-0000-000058090000}"/>
    <cellStyle name="Comma 4 3 2 3 8 2 2" xfId="15434" xr:uid="{86767D16-B58E-423E-9C87-F0D630F6328C}"/>
    <cellStyle name="Comma 4 3 2 3 8 2 3" xfId="23862" xr:uid="{0E5BC759-E38D-4146-A641-454A797ECDD5}"/>
    <cellStyle name="Comma 4 3 2 3 8 3" xfId="11216" xr:uid="{88C9444A-75FC-4D90-8B19-E510ACB34563}"/>
    <cellStyle name="Comma 4 3 2 3 8 4" xfId="19645" xr:uid="{24ABC182-F571-46D4-B9F7-5213271F7833}"/>
    <cellStyle name="Comma 4 3 2 3 9" xfId="4622" xr:uid="{00000000-0005-0000-0000-000059090000}"/>
    <cellStyle name="Comma 4 3 2 3 9 2" xfId="13051" xr:uid="{B1F5D585-E622-4584-B608-7F28ED4EF7C1}"/>
    <cellStyle name="Comma 4 3 2 3 9 3" xfId="21479" xr:uid="{030DFA8D-9D67-4276-89D2-BD936633A169}"/>
    <cellStyle name="Comma 4 3 2 4" xfId="683" xr:uid="{00000000-0005-0000-0000-00005A090000}"/>
    <cellStyle name="Comma 4 3 2 4 2" xfId="2954" xr:uid="{00000000-0005-0000-0000-00005B090000}"/>
    <cellStyle name="Comma 4 3 2 4 2 2" xfId="7178" xr:uid="{00000000-0005-0000-0000-00005C090000}"/>
    <cellStyle name="Comma 4 3 2 4 2 2 2" xfId="15607" xr:uid="{5C2E1EF4-769A-47A8-BBA1-0F6B60E42E9C}"/>
    <cellStyle name="Comma 4 3 2 4 2 2 3" xfId="24035" xr:uid="{E8C1696F-8A64-4717-A892-09E237FC52C4}"/>
    <cellStyle name="Comma 4 3 2 4 2 3" xfId="11389" xr:uid="{F80566CD-B2B7-4656-BD7B-F13E43D8170A}"/>
    <cellStyle name="Comma 4 3 2 4 2 4" xfId="19818" xr:uid="{2C798B25-64F4-4E80-AAC0-326A9FF427C6}"/>
    <cellStyle name="Comma 4 3 2 4 3" xfId="5033" xr:uid="{00000000-0005-0000-0000-00005D090000}"/>
    <cellStyle name="Comma 4 3 2 4 3 2" xfId="13462" xr:uid="{D3A8C5C8-5F7D-4A42-9198-5562B70ABD47}"/>
    <cellStyle name="Comma 4 3 2 4 3 3" xfId="21890" xr:uid="{6DD53DA8-0D08-483D-B4DB-3D9472498B2B}"/>
    <cellStyle name="Comma 4 3 2 4 4" xfId="9244" xr:uid="{A15F7F12-DDAC-4976-B76A-A3B8670CDC64}"/>
    <cellStyle name="Comma 4 3 2 4 5" xfId="17673" xr:uid="{5DDAEEA7-6003-4FAE-9845-ADE8CDAEF7CE}"/>
    <cellStyle name="Comma 4 3 2 5" xfId="1136" xr:uid="{00000000-0005-0000-0000-00005E090000}"/>
    <cellStyle name="Comma 4 3 2 5 2" xfId="3367" xr:uid="{00000000-0005-0000-0000-00005F090000}"/>
    <cellStyle name="Comma 4 3 2 5 2 2" xfId="7591" xr:uid="{00000000-0005-0000-0000-000060090000}"/>
    <cellStyle name="Comma 4 3 2 5 2 2 2" xfId="16020" xr:uid="{A2F6917D-3514-442A-90FB-2CF194A0D73E}"/>
    <cellStyle name="Comma 4 3 2 5 2 2 3" xfId="24448" xr:uid="{8073957C-F77F-4D80-BCC2-35161BF31030}"/>
    <cellStyle name="Comma 4 3 2 5 2 3" xfId="11802" xr:uid="{1BBFA42C-89B5-460A-AC12-DB75F6630F73}"/>
    <cellStyle name="Comma 4 3 2 5 2 4" xfId="20231" xr:uid="{7DEC7470-D573-4EBD-B120-161221F28227}"/>
    <cellStyle name="Comma 4 3 2 5 3" xfId="5446" xr:uid="{00000000-0005-0000-0000-000061090000}"/>
    <cellStyle name="Comma 4 3 2 5 3 2" xfId="13875" xr:uid="{016128A0-7875-49D9-952D-D8CB33DFD329}"/>
    <cellStyle name="Comma 4 3 2 5 3 3" xfId="22303" xr:uid="{EC4A4C95-F230-4BC5-A595-448EAE22FE25}"/>
    <cellStyle name="Comma 4 3 2 5 4" xfId="9657" xr:uid="{658F9029-366C-4253-9DCB-4A0AD02DF02B}"/>
    <cellStyle name="Comma 4 3 2 5 5" xfId="18086" xr:uid="{7616E95F-5AF4-4BD7-A1E9-88240F7A92AB}"/>
    <cellStyle name="Comma 4 3 2 6" xfId="1550" xr:uid="{00000000-0005-0000-0000-000062090000}"/>
    <cellStyle name="Comma 4 3 2 6 2" xfId="3780" xr:uid="{00000000-0005-0000-0000-000063090000}"/>
    <cellStyle name="Comma 4 3 2 6 2 2" xfId="8004" xr:uid="{00000000-0005-0000-0000-000064090000}"/>
    <cellStyle name="Comma 4 3 2 6 2 2 2" xfId="16433" xr:uid="{EB9A66E3-D1EF-4DB7-8230-A48CBA11D24E}"/>
    <cellStyle name="Comma 4 3 2 6 2 2 3" xfId="24861" xr:uid="{97B915DB-C371-4C11-9009-C3FB52E0C1D0}"/>
    <cellStyle name="Comma 4 3 2 6 2 3" xfId="12215" xr:uid="{6EAFF54A-8D74-4BFB-812D-8D1468B7C507}"/>
    <cellStyle name="Comma 4 3 2 6 2 4" xfId="20644" xr:uid="{E4F2D43B-62A7-4B11-A54E-D862564D76FD}"/>
    <cellStyle name="Comma 4 3 2 6 3" xfId="5859" xr:uid="{00000000-0005-0000-0000-000065090000}"/>
    <cellStyle name="Comma 4 3 2 6 3 2" xfId="14288" xr:uid="{E06E8FAA-FF02-4E43-B162-DFB1F053944F}"/>
    <cellStyle name="Comma 4 3 2 6 3 3" xfId="22716" xr:uid="{26AC81E4-DB58-4579-89F4-586347A4AAE3}"/>
    <cellStyle name="Comma 4 3 2 6 4" xfId="10070" xr:uid="{647A66C5-AA2A-4DE5-93BF-26EDD869BD68}"/>
    <cellStyle name="Comma 4 3 2 6 5" xfId="18499" xr:uid="{2740E616-0D7A-4BED-BF07-946D24A05AA6}"/>
    <cellStyle name="Comma 4 3 2 7" xfId="1964" xr:uid="{00000000-0005-0000-0000-000066090000}"/>
    <cellStyle name="Comma 4 3 2 7 2" xfId="4193" xr:uid="{00000000-0005-0000-0000-000067090000}"/>
    <cellStyle name="Comma 4 3 2 7 2 2" xfId="8417" xr:uid="{00000000-0005-0000-0000-000068090000}"/>
    <cellStyle name="Comma 4 3 2 7 2 2 2" xfId="16846" xr:uid="{19E03747-A8F0-4546-87D9-C2460562A58A}"/>
    <cellStyle name="Comma 4 3 2 7 2 2 3" xfId="25274" xr:uid="{7DBD9C59-1CEB-4CC8-A4AD-09C02B4445BA}"/>
    <cellStyle name="Comma 4 3 2 7 2 3" xfId="12628" xr:uid="{1A3FC6EB-7254-4885-8486-8CE2A9187017}"/>
    <cellStyle name="Comma 4 3 2 7 2 4" xfId="21057" xr:uid="{1EC37295-434F-4028-A152-A8B67F0F4E8E}"/>
    <cellStyle name="Comma 4 3 2 7 3" xfId="6272" xr:uid="{00000000-0005-0000-0000-000069090000}"/>
    <cellStyle name="Comma 4 3 2 7 3 2" xfId="14701" xr:uid="{D879516A-410A-4426-9EDA-43B56CD6C1B9}"/>
    <cellStyle name="Comma 4 3 2 7 3 3" xfId="23129" xr:uid="{E3A1ED72-7DC3-4AB3-9F39-D1EDAEEE9D85}"/>
    <cellStyle name="Comma 4 3 2 7 4" xfId="10483" xr:uid="{77B061E2-6513-4690-BCC5-9396B41F17A3}"/>
    <cellStyle name="Comma 4 3 2 7 5" xfId="18912" xr:uid="{4D2B1AB8-1525-481A-AA5E-8A19ED85E23D}"/>
    <cellStyle name="Comma 4 3 2 8" xfId="2399" xr:uid="{00000000-0005-0000-0000-00006A090000}"/>
    <cellStyle name="Comma 4 3 2 8 2" xfId="6685" xr:uid="{00000000-0005-0000-0000-00006B090000}"/>
    <cellStyle name="Comma 4 3 2 8 2 2" xfId="15114" xr:uid="{6EE16AE9-22C5-47B9-AF8A-B077F9715A22}"/>
    <cellStyle name="Comma 4 3 2 8 2 3" xfId="23542" xr:uid="{B4D0D795-3467-4004-8E49-81A6A8678262}"/>
    <cellStyle name="Comma 4 3 2 8 3" xfId="10896" xr:uid="{64A27FD4-EFAA-45B6-8644-828AF9925031}"/>
    <cellStyle name="Comma 4 3 2 8 4" xfId="19325" xr:uid="{D437D3CF-4866-4511-91CB-33E8A1CECC3B}"/>
    <cellStyle name="Comma 4 3 2 9" xfId="2366" xr:uid="{00000000-0005-0000-0000-00006C090000}"/>
    <cellStyle name="Comma 4 3 3" xfId="149" xr:uid="{00000000-0005-0000-0000-00006D090000}"/>
    <cellStyle name="Comma 4 3 3 10" xfId="4623" xr:uid="{00000000-0005-0000-0000-00006E090000}"/>
    <cellStyle name="Comma 4 3 3 10 2" xfId="13052" xr:uid="{293A367B-C197-4775-8CD9-FCA916B5A88B}"/>
    <cellStyle name="Comma 4 3 3 10 3" xfId="21480" xr:uid="{6BE4FD74-1E5D-4EC4-B880-FCF5B343BF8B}"/>
    <cellStyle name="Comma 4 3 3 11" xfId="8834" xr:uid="{2BBE3DFB-E8EE-4276-B9CC-C4124C792195}"/>
    <cellStyle name="Comma 4 3 3 12" xfId="17263" xr:uid="{EE9FC060-A158-439F-A757-EC93F8F1664C}"/>
    <cellStyle name="Comma 4 3 3 2" xfId="150" xr:uid="{00000000-0005-0000-0000-00006F090000}"/>
    <cellStyle name="Comma 4 3 3 2 10" xfId="8835" xr:uid="{0D72FBF4-26B5-423A-B8B3-AAEFC1B2271C}"/>
    <cellStyle name="Comma 4 3 3 2 11" xfId="17264" xr:uid="{C26BC642-3566-4C9C-95ED-8D9CFC448941}"/>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12" xr:uid="{968A0FAF-7885-4DDE-948A-D741E8B47AA1}"/>
    <cellStyle name="Comma 4 3 3 2 2 2 2 3" xfId="24040" xr:uid="{2536AF0A-C5F9-4988-9041-AFF9EA4DBC8D}"/>
    <cellStyle name="Comma 4 3 3 2 2 2 3" xfId="11394" xr:uid="{C58F5227-9DB0-46FD-A98E-4EC35E3DC4C2}"/>
    <cellStyle name="Comma 4 3 3 2 2 2 4" xfId="19823" xr:uid="{A9DCB9C5-32F4-4BB3-8FC0-3B6C7A82124B}"/>
    <cellStyle name="Comma 4 3 3 2 2 3" xfId="5038" xr:uid="{00000000-0005-0000-0000-000073090000}"/>
    <cellStyle name="Comma 4 3 3 2 2 3 2" xfId="13467" xr:uid="{8EB0744D-E81A-4C09-9A5B-8385F6AAA31C}"/>
    <cellStyle name="Comma 4 3 3 2 2 3 3" xfId="21895" xr:uid="{440DC4CF-3F14-4A31-971D-DA3277B59349}"/>
    <cellStyle name="Comma 4 3 3 2 2 4" xfId="9249" xr:uid="{E8F3EF4C-59BB-45F8-B49B-DF91F0394461}"/>
    <cellStyle name="Comma 4 3 3 2 2 5" xfId="17678" xr:uid="{C38F9CF4-75AA-4933-BC36-28D3D80A1976}"/>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25" xr:uid="{9A8AC472-E623-4A8B-8968-012B6F1B74FA}"/>
    <cellStyle name="Comma 4 3 3 2 3 2 2 3" xfId="24453" xr:uid="{BFE8F33E-5FC1-4700-9581-881AB206405A}"/>
    <cellStyle name="Comma 4 3 3 2 3 2 3" xfId="11807" xr:uid="{24BB3D76-BA16-49A3-8B3A-1B292C1C685E}"/>
    <cellStyle name="Comma 4 3 3 2 3 2 4" xfId="20236" xr:uid="{8D98BB87-23F7-430D-9096-7683235F525E}"/>
    <cellStyle name="Comma 4 3 3 2 3 3" xfId="5451" xr:uid="{00000000-0005-0000-0000-000077090000}"/>
    <cellStyle name="Comma 4 3 3 2 3 3 2" xfId="13880" xr:uid="{4C1B0259-DF57-4A59-9811-C17D75A7C093}"/>
    <cellStyle name="Comma 4 3 3 2 3 3 3" xfId="22308" xr:uid="{9BC4775D-DD39-4DE7-BD50-24B21B63F29A}"/>
    <cellStyle name="Comma 4 3 3 2 3 4" xfId="9662" xr:uid="{33D0E6BE-E787-4309-B286-3D510C471A15}"/>
    <cellStyle name="Comma 4 3 3 2 3 5" xfId="18091" xr:uid="{74E46CE6-1ED2-4C42-AABE-48090899A4A3}"/>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8" xr:uid="{D4DBD60F-C247-4EFB-8651-9B93094B8B28}"/>
    <cellStyle name="Comma 4 3 3 2 4 2 2 3" xfId="24866" xr:uid="{0140F1B3-5356-4914-9513-099A53D2C2F5}"/>
    <cellStyle name="Comma 4 3 3 2 4 2 3" xfId="12220" xr:uid="{873651DE-9D56-4550-BF32-5B6B1B3C9D72}"/>
    <cellStyle name="Comma 4 3 3 2 4 2 4" xfId="20649" xr:uid="{74514B24-21F3-482B-A754-30077E7F75FD}"/>
    <cellStyle name="Comma 4 3 3 2 4 3" xfId="5864" xr:uid="{00000000-0005-0000-0000-00007B090000}"/>
    <cellStyle name="Comma 4 3 3 2 4 3 2" xfId="14293" xr:uid="{D5A0C3C8-9138-477B-8621-84938BC47B22}"/>
    <cellStyle name="Comma 4 3 3 2 4 3 3" xfId="22721" xr:uid="{841BC0D8-2508-4F64-A391-8F6CB6CEBBFF}"/>
    <cellStyle name="Comma 4 3 3 2 4 4" xfId="10075" xr:uid="{6E2B344C-79A4-471A-9325-E15F7D694A79}"/>
    <cellStyle name="Comma 4 3 3 2 4 5" xfId="18504" xr:uid="{2FA2E76A-4570-4BA5-9BEC-7A86CD279D89}"/>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51" xr:uid="{937EEF17-C246-4040-9441-12DBE45E2CB0}"/>
    <cellStyle name="Comma 4 3 3 2 5 2 2 3" xfId="25279" xr:uid="{F430F25F-5B5D-4FF3-87FE-2DC4F680A706}"/>
    <cellStyle name="Comma 4 3 3 2 5 2 3" xfId="12633" xr:uid="{CDF0824C-6C81-4EC5-8514-07B6467D7F2A}"/>
    <cellStyle name="Comma 4 3 3 2 5 2 4" xfId="21062" xr:uid="{A3FC7DE1-A3C6-48B7-9FC5-86F354847781}"/>
    <cellStyle name="Comma 4 3 3 2 5 3" xfId="6277" xr:uid="{00000000-0005-0000-0000-00007F090000}"/>
    <cellStyle name="Comma 4 3 3 2 5 3 2" xfId="14706" xr:uid="{A4B8B0DF-33EC-4E21-B506-76BFFF6FD882}"/>
    <cellStyle name="Comma 4 3 3 2 5 3 3" xfId="23134" xr:uid="{03918C66-FA49-477F-BC9D-5F8F860F96EB}"/>
    <cellStyle name="Comma 4 3 3 2 5 4" xfId="10488" xr:uid="{80A65F81-3F8A-4C36-BCF3-313C2BFB4416}"/>
    <cellStyle name="Comma 4 3 3 2 5 5" xfId="18917" xr:uid="{D911B11A-82A6-434B-B7D2-7FE49841FEA9}"/>
    <cellStyle name="Comma 4 3 3 2 6" xfId="2404" xr:uid="{00000000-0005-0000-0000-000080090000}"/>
    <cellStyle name="Comma 4 3 3 2 6 2" xfId="6690" xr:uid="{00000000-0005-0000-0000-000081090000}"/>
    <cellStyle name="Comma 4 3 3 2 6 2 2" xfId="15119" xr:uid="{AA11E00F-1C9D-44B2-8BB0-D7FF1BA8EB8A}"/>
    <cellStyle name="Comma 4 3 3 2 6 2 3" xfId="23547" xr:uid="{0BB4A371-110A-4583-B858-5352F5263100}"/>
    <cellStyle name="Comma 4 3 3 2 6 3" xfId="10901" xr:uid="{B987D7A8-15DF-4740-8E00-C4D2A43E1ED6}"/>
    <cellStyle name="Comma 4 3 3 2 6 4" xfId="19330" xr:uid="{F100C0EE-CF81-4688-B809-B212666404BC}"/>
    <cellStyle name="Comma 4 3 3 2 7" xfId="2361" xr:uid="{00000000-0005-0000-0000-000082090000}"/>
    <cellStyle name="Comma 4 3 3 2 8" xfId="2782" xr:uid="{00000000-0005-0000-0000-000083090000}"/>
    <cellStyle name="Comma 4 3 3 2 8 2" xfId="7007" xr:uid="{00000000-0005-0000-0000-000084090000}"/>
    <cellStyle name="Comma 4 3 3 2 8 2 2" xfId="15436" xr:uid="{462CB2FE-5981-4C58-BDDA-1F71A72F7AE6}"/>
    <cellStyle name="Comma 4 3 3 2 8 2 3" xfId="23864" xr:uid="{03624D2C-2C22-4971-AAD2-5D9980698353}"/>
    <cellStyle name="Comma 4 3 3 2 8 3" xfId="11218" xr:uid="{2483D0C0-9788-49CC-A9D5-215C5ED280B4}"/>
    <cellStyle name="Comma 4 3 3 2 8 4" xfId="19647" xr:uid="{9B4F4E8E-EAFF-4158-BAB2-D8CB7A05A959}"/>
    <cellStyle name="Comma 4 3 3 2 9" xfId="4624" xr:uid="{00000000-0005-0000-0000-000085090000}"/>
    <cellStyle name="Comma 4 3 3 2 9 2" xfId="13053" xr:uid="{8F83D832-2B67-4B72-9C92-E7F84316DE23}"/>
    <cellStyle name="Comma 4 3 3 2 9 3" xfId="21481" xr:uid="{B1474CBB-1576-4DA1-83C5-5304F744A619}"/>
    <cellStyle name="Comma 4 3 3 3" xfId="687" xr:uid="{00000000-0005-0000-0000-000086090000}"/>
    <cellStyle name="Comma 4 3 3 3 2" xfId="2958" xr:uid="{00000000-0005-0000-0000-000087090000}"/>
    <cellStyle name="Comma 4 3 3 3 2 2" xfId="7182" xr:uid="{00000000-0005-0000-0000-000088090000}"/>
    <cellStyle name="Comma 4 3 3 3 2 2 2" xfId="15611" xr:uid="{CF2C1CDA-07C7-4ADC-BD93-FB8AE6558DD8}"/>
    <cellStyle name="Comma 4 3 3 3 2 2 3" xfId="24039" xr:uid="{679674D8-EE56-415F-B15E-B81003C16879}"/>
    <cellStyle name="Comma 4 3 3 3 2 3" xfId="11393" xr:uid="{DA8AB1D7-5A6C-4A18-BB34-F395C64228EB}"/>
    <cellStyle name="Comma 4 3 3 3 2 4" xfId="19822" xr:uid="{1420AE46-06E2-43FC-BD4E-F18042C33FAA}"/>
    <cellStyle name="Comma 4 3 3 3 3" xfId="5037" xr:uid="{00000000-0005-0000-0000-000089090000}"/>
    <cellStyle name="Comma 4 3 3 3 3 2" xfId="13466" xr:uid="{477CE4FF-DB86-43D2-99A5-3364379890AB}"/>
    <cellStyle name="Comma 4 3 3 3 3 3" xfId="21894" xr:uid="{2250C148-32D8-47FF-B991-7C59D5105822}"/>
    <cellStyle name="Comma 4 3 3 3 4" xfId="9248" xr:uid="{DB9B6FCC-1467-430B-8926-439559BF70D6}"/>
    <cellStyle name="Comma 4 3 3 3 5" xfId="17677" xr:uid="{82588C46-4762-4C54-9C67-40D7580D4DED}"/>
    <cellStyle name="Comma 4 3 3 4" xfId="1140" xr:uid="{00000000-0005-0000-0000-00008A090000}"/>
    <cellStyle name="Comma 4 3 3 4 2" xfId="3371" xr:uid="{00000000-0005-0000-0000-00008B090000}"/>
    <cellStyle name="Comma 4 3 3 4 2 2" xfId="7595" xr:uid="{00000000-0005-0000-0000-00008C090000}"/>
    <cellStyle name="Comma 4 3 3 4 2 2 2" xfId="16024" xr:uid="{F6F7A89F-AD9C-430E-B3F1-379631E2CE30}"/>
    <cellStyle name="Comma 4 3 3 4 2 2 3" xfId="24452" xr:uid="{B089D1CE-1BA9-4E4B-A54A-1DA011A10CBA}"/>
    <cellStyle name="Comma 4 3 3 4 2 3" xfId="11806" xr:uid="{8CFB1F5B-FCB8-4B1E-A1E2-8216A443BE49}"/>
    <cellStyle name="Comma 4 3 3 4 2 4" xfId="20235" xr:uid="{8EB59E62-6F8D-4114-ACAB-1EF68AFC724B}"/>
    <cellStyle name="Comma 4 3 3 4 3" xfId="5450" xr:uid="{00000000-0005-0000-0000-00008D090000}"/>
    <cellStyle name="Comma 4 3 3 4 3 2" xfId="13879" xr:uid="{71FB2D09-6D86-42D4-81B3-95556B15679C}"/>
    <cellStyle name="Comma 4 3 3 4 3 3" xfId="22307" xr:uid="{1A62065A-CF0F-4BF3-A808-573B6D27E4B0}"/>
    <cellStyle name="Comma 4 3 3 4 4" xfId="9661" xr:uid="{B111D191-09CD-401A-B866-06B28CC24D01}"/>
    <cellStyle name="Comma 4 3 3 4 5" xfId="18090" xr:uid="{2971EF5C-DA39-4F8D-873B-48B7897B6E26}"/>
    <cellStyle name="Comma 4 3 3 5" xfId="1554" xr:uid="{00000000-0005-0000-0000-00008E090000}"/>
    <cellStyle name="Comma 4 3 3 5 2" xfId="3784" xr:uid="{00000000-0005-0000-0000-00008F090000}"/>
    <cellStyle name="Comma 4 3 3 5 2 2" xfId="8008" xr:uid="{00000000-0005-0000-0000-000090090000}"/>
    <cellStyle name="Comma 4 3 3 5 2 2 2" xfId="16437" xr:uid="{A7C95D59-FC23-4195-87EE-4F9E1FCAB9F7}"/>
    <cellStyle name="Comma 4 3 3 5 2 2 3" xfId="24865" xr:uid="{1AF2B389-8153-46D7-895B-B34571C90EBE}"/>
    <cellStyle name="Comma 4 3 3 5 2 3" xfId="12219" xr:uid="{1A580A58-8212-4264-BB2F-A129D915280A}"/>
    <cellStyle name="Comma 4 3 3 5 2 4" xfId="20648" xr:uid="{938C01A2-86DB-474B-A8EB-94F56682CDEF}"/>
    <cellStyle name="Comma 4 3 3 5 3" xfId="5863" xr:uid="{00000000-0005-0000-0000-000091090000}"/>
    <cellStyle name="Comma 4 3 3 5 3 2" xfId="14292" xr:uid="{501A8C3E-50C1-4A80-9A18-5F3FF4D9BD32}"/>
    <cellStyle name="Comma 4 3 3 5 3 3" xfId="22720" xr:uid="{B8D44B9C-BB97-41A6-9188-556BECD44936}"/>
    <cellStyle name="Comma 4 3 3 5 4" xfId="10074" xr:uid="{A8D58667-3134-4331-BB22-FA22FB7B7765}"/>
    <cellStyle name="Comma 4 3 3 5 5" xfId="18503" xr:uid="{B699C743-FD3D-4D96-A208-B4085DB95688}"/>
    <cellStyle name="Comma 4 3 3 6" xfId="1968" xr:uid="{00000000-0005-0000-0000-000092090000}"/>
    <cellStyle name="Comma 4 3 3 6 2" xfId="4197" xr:uid="{00000000-0005-0000-0000-000093090000}"/>
    <cellStyle name="Comma 4 3 3 6 2 2" xfId="8421" xr:uid="{00000000-0005-0000-0000-000094090000}"/>
    <cellStyle name="Comma 4 3 3 6 2 2 2" xfId="16850" xr:uid="{D83A6F9C-5232-443F-9C8C-3763F3F6E5AD}"/>
    <cellStyle name="Comma 4 3 3 6 2 2 3" xfId="25278" xr:uid="{B906F593-61AF-43B2-A006-06B514AF7854}"/>
    <cellStyle name="Comma 4 3 3 6 2 3" xfId="12632" xr:uid="{0696AE08-D20B-44FE-9826-08C9B3186E2B}"/>
    <cellStyle name="Comma 4 3 3 6 2 4" xfId="21061" xr:uid="{041CBAA7-42C1-4530-AD78-B1D9DC9B0AAD}"/>
    <cellStyle name="Comma 4 3 3 6 3" xfId="6276" xr:uid="{00000000-0005-0000-0000-000095090000}"/>
    <cellStyle name="Comma 4 3 3 6 3 2" xfId="14705" xr:uid="{5F2FE894-D7DF-45F2-ACAF-7CFE1C193AB0}"/>
    <cellStyle name="Comma 4 3 3 6 3 3" xfId="23133" xr:uid="{8FC182A4-EFD6-4302-9A49-CF6667A91AE8}"/>
    <cellStyle name="Comma 4 3 3 6 4" xfId="10487" xr:uid="{7996494E-5BE4-4B0A-BB6F-BE271283E4B2}"/>
    <cellStyle name="Comma 4 3 3 6 5" xfId="18916" xr:uid="{53A194AC-2AB1-459A-AE29-639FA02AA27B}"/>
    <cellStyle name="Comma 4 3 3 7" xfId="2403" xr:uid="{00000000-0005-0000-0000-000096090000}"/>
    <cellStyle name="Comma 4 3 3 7 2" xfId="6689" xr:uid="{00000000-0005-0000-0000-000097090000}"/>
    <cellStyle name="Comma 4 3 3 7 2 2" xfId="15118" xr:uid="{87A6E814-F074-4FB6-902A-581233BA6B85}"/>
    <cellStyle name="Comma 4 3 3 7 2 3" xfId="23546" xr:uid="{3BF0937F-09AF-4DF8-BDA5-2A52FEC98D0E}"/>
    <cellStyle name="Comma 4 3 3 7 3" xfId="10900" xr:uid="{258BEDDA-8137-4A85-987C-3427FDE3FD90}"/>
    <cellStyle name="Comma 4 3 3 7 4" xfId="19329" xr:uid="{269F1FF1-A40A-47D7-A7A2-4A81279FC275}"/>
    <cellStyle name="Comma 4 3 3 8" xfId="2362" xr:uid="{00000000-0005-0000-0000-000098090000}"/>
    <cellStyle name="Comma 4 3 3 9" xfId="2781" xr:uid="{00000000-0005-0000-0000-000099090000}"/>
    <cellStyle name="Comma 4 3 3 9 2" xfId="7006" xr:uid="{00000000-0005-0000-0000-00009A090000}"/>
    <cellStyle name="Comma 4 3 3 9 2 2" xfId="15435" xr:uid="{2F8E2DEF-13B4-44E8-A1FC-5070904DB101}"/>
    <cellStyle name="Comma 4 3 3 9 2 3" xfId="23863" xr:uid="{AC85D1B5-132B-46BE-9358-F785DBB95C45}"/>
    <cellStyle name="Comma 4 3 3 9 3" xfId="11217" xr:uid="{08DD1E7A-2F3D-46C7-9B4E-96C23AB1E9CA}"/>
    <cellStyle name="Comma 4 3 3 9 4" xfId="19646" xr:uid="{0A16782D-4896-4CE5-B8B8-BCFAEE29DFA9}"/>
    <cellStyle name="Comma 4 3 4" xfId="151" xr:uid="{00000000-0005-0000-0000-00009B090000}"/>
    <cellStyle name="Comma 4 3 4 10" xfId="8836" xr:uid="{095BC41E-25C6-4011-8E41-2FEA706B4C46}"/>
    <cellStyle name="Comma 4 3 4 11" xfId="17265" xr:uid="{489BD2B1-7A5A-4779-AC2F-D5D328BC961D}"/>
    <cellStyle name="Comma 4 3 4 2" xfId="689" xr:uid="{00000000-0005-0000-0000-00009C090000}"/>
    <cellStyle name="Comma 4 3 4 2 2" xfId="2960" xr:uid="{00000000-0005-0000-0000-00009D090000}"/>
    <cellStyle name="Comma 4 3 4 2 2 2" xfId="7184" xr:uid="{00000000-0005-0000-0000-00009E090000}"/>
    <cellStyle name="Comma 4 3 4 2 2 2 2" xfId="15613" xr:uid="{193F8764-8EA0-42CC-B7A7-A3156902895B}"/>
    <cellStyle name="Comma 4 3 4 2 2 2 3" xfId="24041" xr:uid="{077B1342-C6D0-4C60-930A-409B5F5A8E1C}"/>
    <cellStyle name="Comma 4 3 4 2 2 3" xfId="11395" xr:uid="{F5B66445-FEDC-45B6-AC93-4E1DAD34A26B}"/>
    <cellStyle name="Comma 4 3 4 2 2 4" xfId="19824" xr:uid="{F5F5414F-E464-47AB-933C-396FB2E600BB}"/>
    <cellStyle name="Comma 4 3 4 2 3" xfId="5039" xr:uid="{00000000-0005-0000-0000-00009F090000}"/>
    <cellStyle name="Comma 4 3 4 2 3 2" xfId="13468" xr:uid="{CD8BAD65-E9BB-42D6-8F69-7A55CC2D127C}"/>
    <cellStyle name="Comma 4 3 4 2 3 3" xfId="21896" xr:uid="{72BD7222-CEC8-459F-9082-23F9275D5DDB}"/>
    <cellStyle name="Comma 4 3 4 2 4" xfId="9250" xr:uid="{DF9E3FFF-0795-4062-B5EB-3C62C25AD1BB}"/>
    <cellStyle name="Comma 4 3 4 2 5" xfId="17679" xr:uid="{00B361B5-D3DD-4A5E-B75A-B9C5E4C897C7}"/>
    <cellStyle name="Comma 4 3 4 3" xfId="1142" xr:uid="{00000000-0005-0000-0000-0000A0090000}"/>
    <cellStyle name="Comma 4 3 4 3 2" xfId="3373" xr:uid="{00000000-0005-0000-0000-0000A1090000}"/>
    <cellStyle name="Comma 4 3 4 3 2 2" xfId="7597" xr:uid="{00000000-0005-0000-0000-0000A2090000}"/>
    <cellStyle name="Comma 4 3 4 3 2 2 2" xfId="16026" xr:uid="{65B59A21-7E3E-4319-8183-60F0161173DB}"/>
    <cellStyle name="Comma 4 3 4 3 2 2 3" xfId="24454" xr:uid="{44E49963-7F42-450E-8141-4168ED0C35E9}"/>
    <cellStyle name="Comma 4 3 4 3 2 3" xfId="11808" xr:uid="{27BA5091-F46F-4C68-A328-5469523704FB}"/>
    <cellStyle name="Comma 4 3 4 3 2 4" xfId="20237" xr:uid="{34FA7823-CA69-4960-A025-A7103053BB57}"/>
    <cellStyle name="Comma 4 3 4 3 3" xfId="5452" xr:uid="{00000000-0005-0000-0000-0000A3090000}"/>
    <cellStyle name="Comma 4 3 4 3 3 2" xfId="13881" xr:uid="{B14E3C91-E2EC-46FE-A3B8-190B06B8F3F9}"/>
    <cellStyle name="Comma 4 3 4 3 3 3" xfId="22309" xr:uid="{80E62169-95DF-49CD-A8B9-2A6CDC8EAF13}"/>
    <cellStyle name="Comma 4 3 4 3 4" xfId="9663" xr:uid="{88626DBF-4020-41EE-A9B0-8C9C1137C854}"/>
    <cellStyle name="Comma 4 3 4 3 5" xfId="18092" xr:uid="{FFB61F72-1C62-4E9F-953B-8EBF88FEA71A}"/>
    <cellStyle name="Comma 4 3 4 4" xfId="1556" xr:uid="{00000000-0005-0000-0000-0000A4090000}"/>
    <cellStyle name="Comma 4 3 4 4 2" xfId="3786" xr:uid="{00000000-0005-0000-0000-0000A5090000}"/>
    <cellStyle name="Comma 4 3 4 4 2 2" xfId="8010" xr:uid="{00000000-0005-0000-0000-0000A6090000}"/>
    <cellStyle name="Comma 4 3 4 4 2 2 2" xfId="16439" xr:uid="{261E58C9-0DF0-4B05-94AA-8837B5E1E92B}"/>
    <cellStyle name="Comma 4 3 4 4 2 2 3" xfId="24867" xr:uid="{408366D7-D281-4BD5-AFBD-8500E5DD674B}"/>
    <cellStyle name="Comma 4 3 4 4 2 3" xfId="12221" xr:uid="{AB3B2DF6-58A5-476C-9079-180C3E8C56DB}"/>
    <cellStyle name="Comma 4 3 4 4 2 4" xfId="20650" xr:uid="{3EF970A0-7964-45A8-B26B-2FCD69E12973}"/>
    <cellStyle name="Comma 4 3 4 4 3" xfId="5865" xr:uid="{00000000-0005-0000-0000-0000A7090000}"/>
    <cellStyle name="Comma 4 3 4 4 3 2" xfId="14294" xr:uid="{E5D43D39-DB13-479E-B4C5-820E8CEEBEFB}"/>
    <cellStyle name="Comma 4 3 4 4 3 3" xfId="22722" xr:uid="{1ED57182-CED8-438D-9DC0-04C6A2D9EA51}"/>
    <cellStyle name="Comma 4 3 4 4 4" xfId="10076" xr:uid="{63F1E3EA-DD3C-4B67-B974-D59B4C666D69}"/>
    <cellStyle name="Comma 4 3 4 4 5" xfId="18505" xr:uid="{81FE367B-6E01-4DB8-AB27-1C6685FF88ED}"/>
    <cellStyle name="Comma 4 3 4 5" xfId="1970" xr:uid="{00000000-0005-0000-0000-0000A8090000}"/>
    <cellStyle name="Comma 4 3 4 5 2" xfId="4199" xr:uid="{00000000-0005-0000-0000-0000A9090000}"/>
    <cellStyle name="Comma 4 3 4 5 2 2" xfId="8423" xr:uid="{00000000-0005-0000-0000-0000AA090000}"/>
    <cellStyle name="Comma 4 3 4 5 2 2 2" xfId="16852" xr:uid="{993238EE-A273-47D1-99FC-4FE97A57509D}"/>
    <cellStyle name="Comma 4 3 4 5 2 2 3" xfId="25280" xr:uid="{6E44C828-48E8-4D80-8096-25DBD257D165}"/>
    <cellStyle name="Comma 4 3 4 5 2 3" xfId="12634" xr:uid="{F3E21507-9CE4-47A3-AFB6-E6E7406279FA}"/>
    <cellStyle name="Comma 4 3 4 5 2 4" xfId="21063" xr:uid="{4B77AD3C-0534-4E99-9FA6-2F8B0D14C363}"/>
    <cellStyle name="Comma 4 3 4 5 3" xfId="6278" xr:uid="{00000000-0005-0000-0000-0000AB090000}"/>
    <cellStyle name="Comma 4 3 4 5 3 2" xfId="14707" xr:uid="{020BB6BB-39A2-4ECA-8BD9-4E170285D72F}"/>
    <cellStyle name="Comma 4 3 4 5 3 3" xfId="23135" xr:uid="{9B512A3E-A16E-4A4D-93CC-280C935A5CE0}"/>
    <cellStyle name="Comma 4 3 4 5 4" xfId="10489" xr:uid="{0FF5004E-5DA1-4504-9854-75663ACBB751}"/>
    <cellStyle name="Comma 4 3 4 5 5" xfId="18918" xr:uid="{9E0C95A2-8E77-446A-92AB-D5F7394EF6A1}"/>
    <cellStyle name="Comma 4 3 4 6" xfId="2405" xr:uid="{00000000-0005-0000-0000-0000AC090000}"/>
    <cellStyle name="Comma 4 3 4 6 2" xfId="6691" xr:uid="{00000000-0005-0000-0000-0000AD090000}"/>
    <cellStyle name="Comma 4 3 4 6 2 2" xfId="15120" xr:uid="{80A735DD-E588-4622-857D-2D7A54F7E8DC}"/>
    <cellStyle name="Comma 4 3 4 6 2 3" xfId="23548" xr:uid="{7C94DE2B-F74E-419A-9C1F-E34A7173D29B}"/>
    <cellStyle name="Comma 4 3 4 6 3" xfId="10902" xr:uid="{9F0F3C76-26AB-46F4-A35B-5B541108E00D}"/>
    <cellStyle name="Comma 4 3 4 6 4" xfId="19331" xr:uid="{3CDAFF30-A716-47C4-AA6A-B21DFA578EBB}"/>
    <cellStyle name="Comma 4 3 4 7" xfId="2701" xr:uid="{00000000-0005-0000-0000-0000AE090000}"/>
    <cellStyle name="Comma 4 3 4 8" xfId="2783" xr:uid="{00000000-0005-0000-0000-0000AF090000}"/>
    <cellStyle name="Comma 4 3 4 8 2" xfId="7008" xr:uid="{00000000-0005-0000-0000-0000B0090000}"/>
    <cellStyle name="Comma 4 3 4 8 2 2" xfId="15437" xr:uid="{4FE8D2E3-30A2-4B56-B59F-4F64F353ED85}"/>
    <cellStyle name="Comma 4 3 4 8 2 3" xfId="23865" xr:uid="{01B7918A-5429-4A95-9CE8-3E42085AD179}"/>
    <cellStyle name="Comma 4 3 4 8 3" xfId="11219" xr:uid="{92B5A089-9AAA-4E04-BEEF-385C733CFD81}"/>
    <cellStyle name="Comma 4 3 4 8 4" xfId="19648" xr:uid="{82549443-2856-4891-AC84-1AF051252EA5}"/>
    <cellStyle name="Comma 4 3 4 9" xfId="4625" xr:uid="{00000000-0005-0000-0000-0000B1090000}"/>
    <cellStyle name="Comma 4 3 4 9 2" xfId="13054" xr:uid="{F949D7D9-7235-4B43-B665-292DACE5AA2B}"/>
    <cellStyle name="Comma 4 3 4 9 3" xfId="21482" xr:uid="{78AE97B2-4DB2-4426-8F83-D4FDCFC90A6F}"/>
    <cellStyle name="Comma 4 3 5" xfId="152" xr:uid="{00000000-0005-0000-0000-0000B2090000}"/>
    <cellStyle name="Comma 4 3 5 10" xfId="8837" xr:uid="{3C7EA1EA-A967-48A8-884B-26CEA3BBFB75}"/>
    <cellStyle name="Comma 4 3 5 11" xfId="17266" xr:uid="{CA3D661A-F5EE-4299-AE48-DB82D1481F2B}"/>
    <cellStyle name="Comma 4 3 5 2" xfId="690" xr:uid="{00000000-0005-0000-0000-0000B3090000}"/>
    <cellStyle name="Comma 4 3 5 2 2" xfId="2961" xr:uid="{00000000-0005-0000-0000-0000B4090000}"/>
    <cellStyle name="Comma 4 3 5 2 2 2" xfId="7185" xr:uid="{00000000-0005-0000-0000-0000B5090000}"/>
    <cellStyle name="Comma 4 3 5 2 2 2 2" xfId="15614" xr:uid="{CBE75E78-AD3D-4E87-8D81-64313F376CB9}"/>
    <cellStyle name="Comma 4 3 5 2 2 2 3" xfId="24042" xr:uid="{C88A2150-04FE-478C-BCE8-CB0B67CE0C1E}"/>
    <cellStyle name="Comma 4 3 5 2 2 3" xfId="11396" xr:uid="{C5961648-8BB6-4666-AB8B-1B54170F718E}"/>
    <cellStyle name="Comma 4 3 5 2 2 4" xfId="19825" xr:uid="{15C2960D-93E2-4A10-90A2-FF4156885559}"/>
    <cellStyle name="Comma 4 3 5 2 3" xfId="5040" xr:uid="{00000000-0005-0000-0000-0000B6090000}"/>
    <cellStyle name="Comma 4 3 5 2 3 2" xfId="13469" xr:uid="{2F37EE09-1D40-4F5A-9FB0-447F81596D4E}"/>
    <cellStyle name="Comma 4 3 5 2 3 3" xfId="21897" xr:uid="{6D161627-BA66-4F6C-ABAF-B63AC468B16D}"/>
    <cellStyle name="Comma 4 3 5 2 4" xfId="9251" xr:uid="{0E9D3FA9-F515-44F8-854A-308E799FE436}"/>
    <cellStyle name="Comma 4 3 5 2 5" xfId="17680" xr:uid="{87ADCB18-9EAE-4E4B-AB0D-15CF00B6881D}"/>
    <cellStyle name="Comma 4 3 5 3" xfId="1143" xr:uid="{00000000-0005-0000-0000-0000B7090000}"/>
    <cellStyle name="Comma 4 3 5 3 2" xfId="3374" xr:uid="{00000000-0005-0000-0000-0000B8090000}"/>
    <cellStyle name="Comma 4 3 5 3 2 2" xfId="7598" xr:uid="{00000000-0005-0000-0000-0000B9090000}"/>
    <cellStyle name="Comma 4 3 5 3 2 2 2" xfId="16027" xr:uid="{17273005-46F2-4271-9150-3B3FF711522D}"/>
    <cellStyle name="Comma 4 3 5 3 2 2 3" xfId="24455" xr:uid="{90D9CCD6-7A49-4A90-9197-50ADE11E636D}"/>
    <cellStyle name="Comma 4 3 5 3 2 3" xfId="11809" xr:uid="{3D2678AA-0C42-4E6D-B9A6-A22D5D8F1DEF}"/>
    <cellStyle name="Comma 4 3 5 3 2 4" xfId="20238" xr:uid="{C3CDE2DA-6541-4496-A3B8-DAF111985C2B}"/>
    <cellStyle name="Comma 4 3 5 3 3" xfId="5453" xr:uid="{00000000-0005-0000-0000-0000BA090000}"/>
    <cellStyle name="Comma 4 3 5 3 3 2" xfId="13882" xr:uid="{9DB26E5F-A170-4329-8912-DB562937F08B}"/>
    <cellStyle name="Comma 4 3 5 3 3 3" xfId="22310" xr:uid="{684BE876-4AA1-4BE4-9351-08275222EB61}"/>
    <cellStyle name="Comma 4 3 5 3 4" xfId="9664" xr:uid="{97905662-399F-4EA4-BE46-3B4431E54E3D}"/>
    <cellStyle name="Comma 4 3 5 3 5" xfId="18093" xr:uid="{F7C37EC1-C157-4E7B-A5A2-6DFE01BCFDDC}"/>
    <cellStyle name="Comma 4 3 5 4" xfId="1557" xr:uid="{00000000-0005-0000-0000-0000BB090000}"/>
    <cellStyle name="Comma 4 3 5 4 2" xfId="3787" xr:uid="{00000000-0005-0000-0000-0000BC090000}"/>
    <cellStyle name="Comma 4 3 5 4 2 2" xfId="8011" xr:uid="{00000000-0005-0000-0000-0000BD090000}"/>
    <cellStyle name="Comma 4 3 5 4 2 2 2" xfId="16440" xr:uid="{49A4136C-D666-4F03-9442-B2651D92C9A4}"/>
    <cellStyle name="Comma 4 3 5 4 2 2 3" xfId="24868" xr:uid="{3D542859-9B51-4C28-9AB5-E364D37E743D}"/>
    <cellStyle name="Comma 4 3 5 4 2 3" xfId="12222" xr:uid="{933CB9D2-722C-45CC-819E-0B1EF7A6629D}"/>
    <cellStyle name="Comma 4 3 5 4 2 4" xfId="20651" xr:uid="{30A1AF7F-CC0E-4774-96E4-75675D4EE039}"/>
    <cellStyle name="Comma 4 3 5 4 3" xfId="5866" xr:uid="{00000000-0005-0000-0000-0000BE090000}"/>
    <cellStyle name="Comma 4 3 5 4 3 2" xfId="14295" xr:uid="{A7804832-93B9-473F-8947-6883FD87C9B6}"/>
    <cellStyle name="Comma 4 3 5 4 3 3" xfId="22723" xr:uid="{472CA1E8-3954-4C15-A50B-EBB421D8AE11}"/>
    <cellStyle name="Comma 4 3 5 4 4" xfId="10077" xr:uid="{292EDFBF-BC98-4417-89D0-D7E96BB9FEB2}"/>
    <cellStyle name="Comma 4 3 5 4 5" xfId="18506" xr:uid="{B32CE3D1-8129-451A-9916-1042CE2B3896}"/>
    <cellStyle name="Comma 4 3 5 5" xfId="1971" xr:uid="{00000000-0005-0000-0000-0000BF090000}"/>
    <cellStyle name="Comma 4 3 5 5 2" xfId="4200" xr:uid="{00000000-0005-0000-0000-0000C0090000}"/>
    <cellStyle name="Comma 4 3 5 5 2 2" xfId="8424" xr:uid="{00000000-0005-0000-0000-0000C1090000}"/>
    <cellStyle name="Comma 4 3 5 5 2 2 2" xfId="16853" xr:uid="{BE11EF19-0F9A-45AC-9119-F283DA5E3A9B}"/>
    <cellStyle name="Comma 4 3 5 5 2 2 3" xfId="25281" xr:uid="{6391D900-4866-4BCD-9227-81E07A4ECD0D}"/>
    <cellStyle name="Comma 4 3 5 5 2 3" xfId="12635" xr:uid="{1B39C898-A280-4429-BE67-F36C6BFBCCBE}"/>
    <cellStyle name="Comma 4 3 5 5 2 4" xfId="21064" xr:uid="{30827DA5-21FF-4929-B6B6-ABE941D4C8F8}"/>
    <cellStyle name="Comma 4 3 5 5 3" xfId="6279" xr:uid="{00000000-0005-0000-0000-0000C2090000}"/>
    <cellStyle name="Comma 4 3 5 5 3 2" xfId="14708" xr:uid="{1F3C742B-51FC-40BC-9299-A14DE24C5582}"/>
    <cellStyle name="Comma 4 3 5 5 3 3" xfId="23136" xr:uid="{9F470BDC-EC97-4E0E-8C16-60A01502C7A5}"/>
    <cellStyle name="Comma 4 3 5 5 4" xfId="10490" xr:uid="{80667EFD-0E7A-4D37-B966-0F3CB79FE482}"/>
    <cellStyle name="Comma 4 3 5 5 5" xfId="18919" xr:uid="{E6D891B5-9E6E-46EB-A80D-2985FCA3BA8B}"/>
    <cellStyle name="Comma 4 3 5 6" xfId="2406" xr:uid="{00000000-0005-0000-0000-0000C3090000}"/>
    <cellStyle name="Comma 4 3 5 6 2" xfId="6692" xr:uid="{00000000-0005-0000-0000-0000C4090000}"/>
    <cellStyle name="Comma 4 3 5 6 2 2" xfId="15121" xr:uid="{0D38FDEB-5434-4B08-90F4-5E7C2B0CFEFD}"/>
    <cellStyle name="Comma 4 3 5 6 2 3" xfId="23549" xr:uid="{8C3187E0-7946-4D3C-817F-CD67F8906232}"/>
    <cellStyle name="Comma 4 3 5 6 3" xfId="10903" xr:uid="{16144C90-714E-4475-A1B3-105C1F7D7C77}"/>
    <cellStyle name="Comma 4 3 5 6 4" xfId="19332" xr:uid="{FBF7C30E-E5A7-4D45-9C28-A18EDB0871DD}"/>
    <cellStyle name="Comma 4 3 5 7" xfId="2702" xr:uid="{00000000-0005-0000-0000-0000C5090000}"/>
    <cellStyle name="Comma 4 3 5 8" xfId="2784" xr:uid="{00000000-0005-0000-0000-0000C6090000}"/>
    <cellStyle name="Comma 4 3 5 8 2" xfId="7009" xr:uid="{00000000-0005-0000-0000-0000C7090000}"/>
    <cellStyle name="Comma 4 3 5 8 2 2" xfId="15438" xr:uid="{22C6F5F7-7B7C-466A-ACE5-CB7AC09B2A7D}"/>
    <cellStyle name="Comma 4 3 5 8 2 3" xfId="23866" xr:uid="{CAAE2670-5F1E-4E02-9C37-8AC7CBD47F19}"/>
    <cellStyle name="Comma 4 3 5 8 3" xfId="11220" xr:uid="{5ABDE013-4E56-4DFC-B2A5-2F694FDE13D4}"/>
    <cellStyle name="Comma 4 3 5 8 4" xfId="19649" xr:uid="{5ABF4A1E-4813-4426-B6EA-9E15CC1E5C93}"/>
    <cellStyle name="Comma 4 3 5 9" xfId="4626" xr:uid="{00000000-0005-0000-0000-0000C8090000}"/>
    <cellStyle name="Comma 4 3 5 9 2" xfId="13055" xr:uid="{D1320989-BFC6-4B62-9694-5BDABD3AE013}"/>
    <cellStyle name="Comma 4 3 5 9 3" xfId="21483" xr:uid="{77EA60A8-CE16-4189-905D-D42D93684FF7}"/>
    <cellStyle name="Comma 4 4" xfId="153" xr:uid="{00000000-0005-0000-0000-0000C9090000}"/>
    <cellStyle name="Comma 4 4 10" xfId="2785" xr:uid="{00000000-0005-0000-0000-0000CA090000}"/>
    <cellStyle name="Comma 4 4 10 2" xfId="7010" xr:uid="{00000000-0005-0000-0000-0000CB090000}"/>
    <cellStyle name="Comma 4 4 10 2 2" xfId="15439" xr:uid="{7660F0E5-88B4-4E1B-A75A-05E8215B96A2}"/>
    <cellStyle name="Comma 4 4 10 2 3" xfId="23867" xr:uid="{18EEB39E-98DB-4408-AD34-249D8B1A00AB}"/>
    <cellStyle name="Comma 4 4 10 3" xfId="11221" xr:uid="{B23E3778-00B7-4EB3-A666-D23EECFC8422}"/>
    <cellStyle name="Comma 4 4 10 4" xfId="19650" xr:uid="{08BD9FAC-91C0-438B-AB87-A18A8B1CD255}"/>
    <cellStyle name="Comma 4 4 11" xfId="4627" xr:uid="{00000000-0005-0000-0000-0000CC090000}"/>
    <cellStyle name="Comma 4 4 11 2" xfId="13056" xr:uid="{FACA4892-9245-4541-8DC4-FFF3369BD0FC}"/>
    <cellStyle name="Comma 4 4 11 3" xfId="21484" xr:uid="{E91C4833-EF93-4186-935C-7980F16EC279}"/>
    <cellStyle name="Comma 4 4 12" xfId="8838" xr:uid="{D8CA4276-7364-4534-95CA-27B7454211A3}"/>
    <cellStyle name="Comma 4 4 13" xfId="17267" xr:uid="{CF75103C-9DC5-4D96-9F4E-72A04D9E120E}"/>
    <cellStyle name="Comma 4 4 2" xfId="154" xr:uid="{00000000-0005-0000-0000-0000CD090000}"/>
    <cellStyle name="Comma 4 4 2 10" xfId="4628" xr:uid="{00000000-0005-0000-0000-0000CE090000}"/>
    <cellStyle name="Comma 4 4 2 10 2" xfId="13057" xr:uid="{538259B3-990C-48CF-8C38-26C7BB1C5322}"/>
    <cellStyle name="Comma 4 4 2 10 3" xfId="21485" xr:uid="{AF7C97A6-DDAB-4EB8-95B6-5936D631EAAB}"/>
    <cellStyle name="Comma 4 4 2 11" xfId="8839" xr:uid="{E8992552-32BF-45B4-8252-BB6F01BDB5A6}"/>
    <cellStyle name="Comma 4 4 2 12" xfId="17268" xr:uid="{B0F908E6-EF59-4F91-A1B3-4FF1E7D6329F}"/>
    <cellStyle name="Comma 4 4 2 2" xfId="155" xr:uid="{00000000-0005-0000-0000-0000CF090000}"/>
    <cellStyle name="Comma 4 4 2 2 10" xfId="8840" xr:uid="{9B24FDC0-A64E-4531-AC47-B2210C13C69D}"/>
    <cellStyle name="Comma 4 4 2 2 11" xfId="17269" xr:uid="{B05F1CBC-A883-4C4A-B0D8-D8FD7909BB86}"/>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7" xr:uid="{3FB331DE-DB8C-471B-AE38-4234C9F2AFA9}"/>
    <cellStyle name="Comma 4 4 2 2 2 2 2 3" xfId="24045" xr:uid="{BAC89256-5A24-4FFF-87A7-1F7FC17B01BB}"/>
    <cellStyle name="Comma 4 4 2 2 2 2 3" xfId="11399" xr:uid="{946E76E9-76BE-4ABE-97A2-4382998B59B2}"/>
    <cellStyle name="Comma 4 4 2 2 2 2 4" xfId="19828" xr:uid="{BF65E91A-CCB6-4241-A9A7-8C698E6A8FDF}"/>
    <cellStyle name="Comma 4 4 2 2 2 3" xfId="5043" xr:uid="{00000000-0005-0000-0000-0000D3090000}"/>
    <cellStyle name="Comma 4 4 2 2 2 3 2" xfId="13472" xr:uid="{FCB1A301-E9B2-4235-9446-223D72F8B684}"/>
    <cellStyle name="Comma 4 4 2 2 2 3 3" xfId="21900" xr:uid="{9449810C-59C6-47E3-8C2D-204D87266B9A}"/>
    <cellStyle name="Comma 4 4 2 2 2 4" xfId="9254" xr:uid="{06CC85F7-41FD-4421-AB98-BDCCD9B95938}"/>
    <cellStyle name="Comma 4 4 2 2 2 5" xfId="17683" xr:uid="{20A36E1B-E12C-4250-8EAF-905835DE2A02}"/>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30" xr:uid="{C2FC3057-74CB-4EFB-9257-926C3F12106D}"/>
    <cellStyle name="Comma 4 4 2 2 3 2 2 3" xfId="24458" xr:uid="{1A9AA951-9E53-49EC-BCD5-1EDFA1A554FF}"/>
    <cellStyle name="Comma 4 4 2 2 3 2 3" xfId="11812" xr:uid="{8443E922-8376-4C64-995B-1224A0C43883}"/>
    <cellStyle name="Comma 4 4 2 2 3 2 4" xfId="20241" xr:uid="{BF16B2FE-7595-4B52-8194-794D6C873190}"/>
    <cellStyle name="Comma 4 4 2 2 3 3" xfId="5456" xr:uid="{00000000-0005-0000-0000-0000D7090000}"/>
    <cellStyle name="Comma 4 4 2 2 3 3 2" xfId="13885" xr:uid="{C0790C89-ECA7-4F37-A608-97BA44F25D0D}"/>
    <cellStyle name="Comma 4 4 2 2 3 3 3" xfId="22313" xr:uid="{7E50F179-D600-46D2-AB80-4C7E0D149278}"/>
    <cellStyle name="Comma 4 4 2 2 3 4" xfId="9667" xr:uid="{A0B89F3B-E993-4FB8-A442-F3D8D73E75F8}"/>
    <cellStyle name="Comma 4 4 2 2 3 5" xfId="18096" xr:uid="{4ED863C0-E50A-4249-BB9D-65180DD62163}"/>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43" xr:uid="{021CB78A-80CF-4CD6-9F96-955EAECDDA06}"/>
    <cellStyle name="Comma 4 4 2 2 4 2 2 3" xfId="24871" xr:uid="{5E4F4B0E-73A5-4929-A796-682EF237FCAE}"/>
    <cellStyle name="Comma 4 4 2 2 4 2 3" xfId="12225" xr:uid="{9B121CC5-396F-4B2E-A915-35384CE9CF24}"/>
    <cellStyle name="Comma 4 4 2 2 4 2 4" xfId="20654" xr:uid="{6758E604-1D21-4891-8054-9063401256B7}"/>
    <cellStyle name="Comma 4 4 2 2 4 3" xfId="5869" xr:uid="{00000000-0005-0000-0000-0000DB090000}"/>
    <cellStyle name="Comma 4 4 2 2 4 3 2" xfId="14298" xr:uid="{23A695D5-49E8-4023-9AC7-09E7F95421A2}"/>
    <cellStyle name="Comma 4 4 2 2 4 3 3" xfId="22726" xr:uid="{17A27DC1-BCF3-4A15-8056-C4FA3359D463}"/>
    <cellStyle name="Comma 4 4 2 2 4 4" xfId="10080" xr:uid="{869D3895-0A32-41D8-814A-E9B3D6A9F556}"/>
    <cellStyle name="Comma 4 4 2 2 4 5" xfId="18509" xr:uid="{165DCABE-C302-425D-8694-0C24FADAB61B}"/>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56" xr:uid="{A49168FE-9550-436C-A27B-63FC8C2962EE}"/>
    <cellStyle name="Comma 4 4 2 2 5 2 2 3" xfId="25284" xr:uid="{CD1387DE-E373-4BC5-BE00-4F4B669B3CE7}"/>
    <cellStyle name="Comma 4 4 2 2 5 2 3" xfId="12638" xr:uid="{710CB67B-BDEA-4AAB-825C-FFCB50144D7C}"/>
    <cellStyle name="Comma 4 4 2 2 5 2 4" xfId="21067" xr:uid="{D9BC872F-BAFF-4549-AFF7-E7EFD37AF152}"/>
    <cellStyle name="Comma 4 4 2 2 5 3" xfId="6282" xr:uid="{00000000-0005-0000-0000-0000DF090000}"/>
    <cellStyle name="Comma 4 4 2 2 5 3 2" xfId="14711" xr:uid="{4DC9F6D0-A39D-429E-B758-A7184AED7089}"/>
    <cellStyle name="Comma 4 4 2 2 5 3 3" xfId="23139" xr:uid="{4250F52E-38EF-49D9-8B0F-989419D827B3}"/>
    <cellStyle name="Comma 4 4 2 2 5 4" xfId="10493" xr:uid="{FF5233CE-0A20-4599-BA61-5D1AEB1352B3}"/>
    <cellStyle name="Comma 4 4 2 2 5 5" xfId="18922" xr:uid="{3C791267-378A-49A5-B46D-D8FDCC9C680C}"/>
    <cellStyle name="Comma 4 4 2 2 6" xfId="2409" xr:uid="{00000000-0005-0000-0000-0000E0090000}"/>
    <cellStyle name="Comma 4 4 2 2 6 2" xfId="6695" xr:uid="{00000000-0005-0000-0000-0000E1090000}"/>
    <cellStyle name="Comma 4 4 2 2 6 2 2" xfId="15124" xr:uid="{193E893E-1815-46B3-9152-C0555573B486}"/>
    <cellStyle name="Comma 4 4 2 2 6 2 3" xfId="23552" xr:uid="{E96169D5-8358-414F-AF3D-1E750B793B24}"/>
    <cellStyle name="Comma 4 4 2 2 6 3" xfId="10906" xr:uid="{3D4469D5-F723-4A1C-93A8-354138B36FD4}"/>
    <cellStyle name="Comma 4 4 2 2 6 4" xfId="19335" xr:uid="{3B604477-6C33-4D3C-9488-86056F83582A}"/>
    <cellStyle name="Comma 4 4 2 2 7" xfId="2705" xr:uid="{00000000-0005-0000-0000-0000E2090000}"/>
    <cellStyle name="Comma 4 4 2 2 8" xfId="2787" xr:uid="{00000000-0005-0000-0000-0000E3090000}"/>
    <cellStyle name="Comma 4 4 2 2 8 2" xfId="7012" xr:uid="{00000000-0005-0000-0000-0000E4090000}"/>
    <cellStyle name="Comma 4 4 2 2 8 2 2" xfId="15441" xr:uid="{674F5E19-345C-4266-9B82-14127979B536}"/>
    <cellStyle name="Comma 4 4 2 2 8 2 3" xfId="23869" xr:uid="{CC3E3FA5-2BA1-496C-A26A-DC343367A9C0}"/>
    <cellStyle name="Comma 4 4 2 2 8 3" xfId="11223" xr:uid="{CA242D80-1E37-462E-80EB-9B7FA777B1B1}"/>
    <cellStyle name="Comma 4 4 2 2 8 4" xfId="19652" xr:uid="{1451C838-57CB-4FDB-92CE-72F4A6676DBB}"/>
    <cellStyle name="Comma 4 4 2 2 9" xfId="4629" xr:uid="{00000000-0005-0000-0000-0000E5090000}"/>
    <cellStyle name="Comma 4 4 2 2 9 2" xfId="13058" xr:uid="{4542780C-3482-49AF-BE79-442ECA0ED764}"/>
    <cellStyle name="Comma 4 4 2 2 9 3" xfId="21486" xr:uid="{4BB859C7-09E5-4BB4-9E7A-87F2B1F6677C}"/>
    <cellStyle name="Comma 4 4 2 3" xfId="692" xr:uid="{00000000-0005-0000-0000-0000E6090000}"/>
    <cellStyle name="Comma 4 4 2 3 2" xfId="2963" xr:uid="{00000000-0005-0000-0000-0000E7090000}"/>
    <cellStyle name="Comma 4 4 2 3 2 2" xfId="7187" xr:uid="{00000000-0005-0000-0000-0000E8090000}"/>
    <cellStyle name="Comma 4 4 2 3 2 2 2" xfId="15616" xr:uid="{D9FB147D-96A1-4511-A310-266429822B03}"/>
    <cellStyle name="Comma 4 4 2 3 2 2 3" xfId="24044" xr:uid="{06264DE1-52BB-473F-9363-F5C3509176EF}"/>
    <cellStyle name="Comma 4 4 2 3 2 3" xfId="11398" xr:uid="{196D50EF-791F-4A5C-B50F-5B478C2DE8EF}"/>
    <cellStyle name="Comma 4 4 2 3 2 4" xfId="19827" xr:uid="{39F8F9BC-B02A-4F33-9B7A-E606CE379028}"/>
    <cellStyle name="Comma 4 4 2 3 3" xfId="5042" xr:uid="{00000000-0005-0000-0000-0000E9090000}"/>
    <cellStyle name="Comma 4 4 2 3 3 2" xfId="13471" xr:uid="{9B51828A-0432-4C6D-A5D2-2A91C3ED7199}"/>
    <cellStyle name="Comma 4 4 2 3 3 3" xfId="21899" xr:uid="{8522FD99-4E16-4E6F-A6A5-D7514A5509DE}"/>
    <cellStyle name="Comma 4 4 2 3 4" xfId="9253" xr:uid="{E34F50AD-A961-48AC-A5CB-0D8A9E3F19BE}"/>
    <cellStyle name="Comma 4 4 2 3 5" xfId="17682" xr:uid="{BEB150FA-9280-4741-80FA-CCFEC9469AAB}"/>
    <cellStyle name="Comma 4 4 2 4" xfId="1145" xr:uid="{00000000-0005-0000-0000-0000EA090000}"/>
    <cellStyle name="Comma 4 4 2 4 2" xfId="3376" xr:uid="{00000000-0005-0000-0000-0000EB090000}"/>
    <cellStyle name="Comma 4 4 2 4 2 2" xfId="7600" xr:uid="{00000000-0005-0000-0000-0000EC090000}"/>
    <cellStyle name="Comma 4 4 2 4 2 2 2" xfId="16029" xr:uid="{1F7F0288-442A-41EF-B077-A01005565772}"/>
    <cellStyle name="Comma 4 4 2 4 2 2 3" xfId="24457" xr:uid="{E7D7BD17-2625-43C0-8039-0D6D26F18FC7}"/>
    <cellStyle name="Comma 4 4 2 4 2 3" xfId="11811" xr:uid="{65AB1C2D-031F-43CD-9A52-076BF8CD5C56}"/>
    <cellStyle name="Comma 4 4 2 4 2 4" xfId="20240" xr:uid="{699D7DCD-20D8-46F7-8A5B-38C2D8A40836}"/>
    <cellStyle name="Comma 4 4 2 4 3" xfId="5455" xr:uid="{00000000-0005-0000-0000-0000ED090000}"/>
    <cellStyle name="Comma 4 4 2 4 3 2" xfId="13884" xr:uid="{6424B6A6-1714-4B5D-96DD-3EA645254E8E}"/>
    <cellStyle name="Comma 4 4 2 4 3 3" xfId="22312" xr:uid="{372C9086-902B-4AE3-925E-CCDB0BCDEA5D}"/>
    <cellStyle name="Comma 4 4 2 4 4" xfId="9666" xr:uid="{E834BB72-7FA9-47E6-899B-923BCBD4D3D3}"/>
    <cellStyle name="Comma 4 4 2 4 5" xfId="18095" xr:uid="{A7A6F0B1-5A8D-410A-B07B-8B6791DB1DD2}"/>
    <cellStyle name="Comma 4 4 2 5" xfId="1559" xr:uid="{00000000-0005-0000-0000-0000EE090000}"/>
    <cellStyle name="Comma 4 4 2 5 2" xfId="3789" xr:uid="{00000000-0005-0000-0000-0000EF090000}"/>
    <cellStyle name="Comma 4 4 2 5 2 2" xfId="8013" xr:uid="{00000000-0005-0000-0000-0000F0090000}"/>
    <cellStyle name="Comma 4 4 2 5 2 2 2" xfId="16442" xr:uid="{EAAE1FF1-D11E-423A-9894-12388FC0917E}"/>
    <cellStyle name="Comma 4 4 2 5 2 2 3" xfId="24870" xr:uid="{E9C09444-14A8-401C-A146-8BE62E60452D}"/>
    <cellStyle name="Comma 4 4 2 5 2 3" xfId="12224" xr:uid="{06AA0449-4FA2-4F70-8BEA-354BA93C2EFD}"/>
    <cellStyle name="Comma 4 4 2 5 2 4" xfId="20653" xr:uid="{71C7A001-EF3B-49D3-8A58-0FBA3D693790}"/>
    <cellStyle name="Comma 4 4 2 5 3" xfId="5868" xr:uid="{00000000-0005-0000-0000-0000F1090000}"/>
    <cellStyle name="Comma 4 4 2 5 3 2" xfId="14297" xr:uid="{3B4BC37C-A15D-445D-90A0-74C910432CB9}"/>
    <cellStyle name="Comma 4 4 2 5 3 3" xfId="22725" xr:uid="{459B951F-600C-4154-91FD-6ABDAED58472}"/>
    <cellStyle name="Comma 4 4 2 5 4" xfId="10079" xr:uid="{C049DF39-0F5B-4644-92CA-3FE4C05256F6}"/>
    <cellStyle name="Comma 4 4 2 5 5" xfId="18508" xr:uid="{217B21AB-62B2-45EE-B7F5-FD49F4092C08}"/>
    <cellStyle name="Comma 4 4 2 6" xfId="1973" xr:uid="{00000000-0005-0000-0000-0000F2090000}"/>
    <cellStyle name="Comma 4 4 2 6 2" xfId="4202" xr:uid="{00000000-0005-0000-0000-0000F3090000}"/>
    <cellStyle name="Comma 4 4 2 6 2 2" xfId="8426" xr:uid="{00000000-0005-0000-0000-0000F4090000}"/>
    <cellStyle name="Comma 4 4 2 6 2 2 2" xfId="16855" xr:uid="{B4258D2A-967F-4621-9A69-1C236328AA08}"/>
    <cellStyle name="Comma 4 4 2 6 2 2 3" xfId="25283" xr:uid="{D318AF30-9A15-49A7-BC4B-C4426B42D28E}"/>
    <cellStyle name="Comma 4 4 2 6 2 3" xfId="12637" xr:uid="{0F394585-6C67-4595-ABB0-D0C2ADBE2CBB}"/>
    <cellStyle name="Comma 4 4 2 6 2 4" xfId="21066" xr:uid="{55468940-B64C-44F1-9A7A-B2AE55C7D658}"/>
    <cellStyle name="Comma 4 4 2 6 3" xfId="6281" xr:uid="{00000000-0005-0000-0000-0000F5090000}"/>
    <cellStyle name="Comma 4 4 2 6 3 2" xfId="14710" xr:uid="{C6F8BB38-E541-4EE0-8F80-AB1D8D75792D}"/>
    <cellStyle name="Comma 4 4 2 6 3 3" xfId="23138" xr:uid="{AF8BADD5-830F-47F5-92AF-CAF575525FAB}"/>
    <cellStyle name="Comma 4 4 2 6 4" xfId="10492" xr:uid="{37D97F1C-4FA8-4214-9DBE-C4AC8EA9D2B9}"/>
    <cellStyle name="Comma 4 4 2 6 5" xfId="18921" xr:uid="{E3AC3A49-2292-402A-AC1B-24F89F6E11F0}"/>
    <cellStyle name="Comma 4 4 2 7" xfId="2408" xr:uid="{00000000-0005-0000-0000-0000F6090000}"/>
    <cellStyle name="Comma 4 4 2 7 2" xfId="6694" xr:uid="{00000000-0005-0000-0000-0000F7090000}"/>
    <cellStyle name="Comma 4 4 2 7 2 2" xfId="15123" xr:uid="{986A1DC4-8B45-4E71-B04A-90DD5AC6356D}"/>
    <cellStyle name="Comma 4 4 2 7 2 3" xfId="23551" xr:uid="{6D0D84E2-6ADB-4DE2-933A-B2752EDB4409}"/>
    <cellStyle name="Comma 4 4 2 7 3" xfId="10905" xr:uid="{CB6CD7AA-B6A8-4BB4-BCA8-F185C37AB78B}"/>
    <cellStyle name="Comma 4 4 2 7 4" xfId="19334" xr:uid="{06EC28C6-6C13-4216-87AD-DE5BD0BDEF67}"/>
    <cellStyle name="Comma 4 4 2 8" xfId="2704" xr:uid="{00000000-0005-0000-0000-0000F8090000}"/>
    <cellStyle name="Comma 4 4 2 9" xfId="2786" xr:uid="{00000000-0005-0000-0000-0000F9090000}"/>
    <cellStyle name="Comma 4 4 2 9 2" xfId="7011" xr:uid="{00000000-0005-0000-0000-0000FA090000}"/>
    <cellStyle name="Comma 4 4 2 9 2 2" xfId="15440" xr:uid="{D065BEC6-3AAB-4135-8CD5-258F12F24B14}"/>
    <cellStyle name="Comma 4 4 2 9 2 3" xfId="23868" xr:uid="{381F4132-AF85-48B9-9301-28F84EEFBDC2}"/>
    <cellStyle name="Comma 4 4 2 9 3" xfId="11222" xr:uid="{C3E9D38B-B3FA-4AF9-B011-F5382B2F4AE1}"/>
    <cellStyle name="Comma 4 4 2 9 4" xfId="19651" xr:uid="{62C5B8E7-A74F-42C3-8833-059A15BBD5C8}"/>
    <cellStyle name="Comma 4 4 3" xfId="156" xr:uid="{00000000-0005-0000-0000-0000FB090000}"/>
    <cellStyle name="Comma 4 4 3 10" xfId="8841" xr:uid="{F0599E13-1CCC-4D2D-B187-B17C4B34E6F9}"/>
    <cellStyle name="Comma 4 4 3 11" xfId="17270" xr:uid="{8294CB71-08E6-44C0-B541-904FA5F888BD}"/>
    <cellStyle name="Comma 4 4 3 2" xfId="694" xr:uid="{00000000-0005-0000-0000-0000FC090000}"/>
    <cellStyle name="Comma 4 4 3 2 2" xfId="2965" xr:uid="{00000000-0005-0000-0000-0000FD090000}"/>
    <cellStyle name="Comma 4 4 3 2 2 2" xfId="7189" xr:uid="{00000000-0005-0000-0000-0000FE090000}"/>
    <cellStyle name="Comma 4 4 3 2 2 2 2" xfId="15618" xr:uid="{F34E7E94-BBDC-485E-B4D0-AA18FBE067B6}"/>
    <cellStyle name="Comma 4 4 3 2 2 2 3" xfId="24046" xr:uid="{807C00D9-15ED-4EC8-9749-38B38B1DDDAE}"/>
    <cellStyle name="Comma 4 4 3 2 2 3" xfId="11400" xr:uid="{D5CA0BA0-FB47-4C26-B096-B406D9CE1816}"/>
    <cellStyle name="Comma 4 4 3 2 2 4" xfId="19829" xr:uid="{31AF6BAC-3DF8-4706-A5B3-029A8C109123}"/>
    <cellStyle name="Comma 4 4 3 2 3" xfId="5044" xr:uid="{00000000-0005-0000-0000-0000FF090000}"/>
    <cellStyle name="Comma 4 4 3 2 3 2" xfId="13473" xr:uid="{EDCF8317-8A04-43B0-82F3-E081B6DE60EA}"/>
    <cellStyle name="Comma 4 4 3 2 3 3" xfId="21901" xr:uid="{7C0BD0C9-412C-44E1-B366-D49FF77E4305}"/>
    <cellStyle name="Comma 4 4 3 2 4" xfId="9255" xr:uid="{41EDA545-CBFA-474F-B9BC-5943A8D7D283}"/>
    <cellStyle name="Comma 4 4 3 2 5" xfId="17684" xr:uid="{8E9B581B-C1AC-4F15-B52F-78465A6B3E55}"/>
    <cellStyle name="Comma 4 4 3 3" xfId="1147" xr:uid="{00000000-0005-0000-0000-0000000A0000}"/>
    <cellStyle name="Comma 4 4 3 3 2" xfId="3378" xr:uid="{00000000-0005-0000-0000-0000010A0000}"/>
    <cellStyle name="Comma 4 4 3 3 2 2" xfId="7602" xr:uid="{00000000-0005-0000-0000-0000020A0000}"/>
    <cellStyle name="Comma 4 4 3 3 2 2 2" xfId="16031" xr:uid="{7CAED947-FFFE-4321-8B6F-BE48FF15F9FF}"/>
    <cellStyle name="Comma 4 4 3 3 2 2 3" xfId="24459" xr:uid="{792F57B0-FD3A-4A51-916A-2B33B764A748}"/>
    <cellStyle name="Comma 4 4 3 3 2 3" xfId="11813" xr:uid="{8BC6C1BA-21C5-407B-8348-1232148544DC}"/>
    <cellStyle name="Comma 4 4 3 3 2 4" xfId="20242" xr:uid="{BDF9880A-5567-485C-86EE-4BC7255A55D9}"/>
    <cellStyle name="Comma 4 4 3 3 3" xfId="5457" xr:uid="{00000000-0005-0000-0000-0000030A0000}"/>
    <cellStyle name="Comma 4 4 3 3 3 2" xfId="13886" xr:uid="{638FC194-D34E-41F4-A9FA-3B50F309AFD9}"/>
    <cellStyle name="Comma 4 4 3 3 3 3" xfId="22314" xr:uid="{CCD60825-52DD-4EAC-B5E5-9EFBD2B2CBC8}"/>
    <cellStyle name="Comma 4 4 3 3 4" xfId="9668" xr:uid="{EFFCDF52-7AC5-47A9-88B9-2102F89FB354}"/>
    <cellStyle name="Comma 4 4 3 3 5" xfId="18097" xr:uid="{C64E9F30-9B81-4273-B7CB-95BD9C1BFF50}"/>
    <cellStyle name="Comma 4 4 3 4" xfId="1561" xr:uid="{00000000-0005-0000-0000-0000040A0000}"/>
    <cellStyle name="Comma 4 4 3 4 2" xfId="3791" xr:uid="{00000000-0005-0000-0000-0000050A0000}"/>
    <cellStyle name="Comma 4 4 3 4 2 2" xfId="8015" xr:uid="{00000000-0005-0000-0000-0000060A0000}"/>
    <cellStyle name="Comma 4 4 3 4 2 2 2" xfId="16444" xr:uid="{0D4A8324-7327-459F-B160-53BC199BF6F2}"/>
    <cellStyle name="Comma 4 4 3 4 2 2 3" xfId="24872" xr:uid="{C4537795-C76C-44EE-877F-401A54526684}"/>
    <cellStyle name="Comma 4 4 3 4 2 3" xfId="12226" xr:uid="{E3E71B79-643E-45CD-B136-B50B11909C65}"/>
    <cellStyle name="Comma 4 4 3 4 2 4" xfId="20655" xr:uid="{EEFBDA42-26BF-433A-BD12-9CE082C27F66}"/>
    <cellStyle name="Comma 4 4 3 4 3" xfId="5870" xr:uid="{00000000-0005-0000-0000-0000070A0000}"/>
    <cellStyle name="Comma 4 4 3 4 3 2" xfId="14299" xr:uid="{56819046-89CE-4762-B800-D0E9FD35D881}"/>
    <cellStyle name="Comma 4 4 3 4 3 3" xfId="22727" xr:uid="{512D8D4C-C09B-4E04-AE2B-27D4CA0F3E5D}"/>
    <cellStyle name="Comma 4 4 3 4 4" xfId="10081" xr:uid="{BAFEEEDB-7ED6-419A-B8D1-9118D26DADDC}"/>
    <cellStyle name="Comma 4 4 3 4 5" xfId="18510" xr:uid="{3BFD4564-3A5B-4F5E-9A0A-654DE96E5114}"/>
    <cellStyle name="Comma 4 4 3 5" xfId="1975" xr:uid="{00000000-0005-0000-0000-0000080A0000}"/>
    <cellStyle name="Comma 4 4 3 5 2" xfId="4204" xr:uid="{00000000-0005-0000-0000-0000090A0000}"/>
    <cellStyle name="Comma 4 4 3 5 2 2" xfId="8428" xr:uid="{00000000-0005-0000-0000-00000A0A0000}"/>
    <cellStyle name="Comma 4 4 3 5 2 2 2" xfId="16857" xr:uid="{8D89D907-E763-4503-8EDC-A58C67E02B35}"/>
    <cellStyle name="Comma 4 4 3 5 2 2 3" xfId="25285" xr:uid="{79049B6E-C2E9-4066-8FBA-EE2ADFE2EA96}"/>
    <cellStyle name="Comma 4 4 3 5 2 3" xfId="12639" xr:uid="{B73486C5-37B0-4ED5-B26F-2556E3FACDA8}"/>
    <cellStyle name="Comma 4 4 3 5 2 4" xfId="21068" xr:uid="{BF41BCD8-79C9-416A-B3A1-477AEBADE3E6}"/>
    <cellStyle name="Comma 4 4 3 5 3" xfId="6283" xr:uid="{00000000-0005-0000-0000-00000B0A0000}"/>
    <cellStyle name="Comma 4 4 3 5 3 2" xfId="14712" xr:uid="{E7BE2A79-E176-47FD-BD08-8B900BC1203D}"/>
    <cellStyle name="Comma 4 4 3 5 3 3" xfId="23140" xr:uid="{305C0E77-6B5B-4477-9EBF-71858377821A}"/>
    <cellStyle name="Comma 4 4 3 5 4" xfId="10494" xr:uid="{FA83AEC9-4639-4A0E-B518-D17B9B6F88A9}"/>
    <cellStyle name="Comma 4 4 3 5 5" xfId="18923" xr:uid="{CE002DB9-9DF8-41B9-9A1D-4F1B47AAE284}"/>
    <cellStyle name="Comma 4 4 3 6" xfId="2410" xr:uid="{00000000-0005-0000-0000-00000C0A0000}"/>
    <cellStyle name="Comma 4 4 3 6 2" xfId="6696" xr:uid="{00000000-0005-0000-0000-00000D0A0000}"/>
    <cellStyle name="Comma 4 4 3 6 2 2" xfId="15125" xr:uid="{80FA9AF4-2EC8-4DDE-B54F-761F821769AA}"/>
    <cellStyle name="Comma 4 4 3 6 2 3" xfId="23553" xr:uid="{87CA6134-E060-4125-8CC6-8A5A6D21E938}"/>
    <cellStyle name="Comma 4 4 3 6 3" xfId="10907" xr:uid="{B2C05BED-30C5-48E3-AC92-D715FE11BAC0}"/>
    <cellStyle name="Comma 4 4 3 6 4" xfId="19336" xr:uid="{3B986505-21ED-4A0E-BF99-9AE87CAFABD5}"/>
    <cellStyle name="Comma 4 4 3 7" xfId="2706" xr:uid="{00000000-0005-0000-0000-00000E0A0000}"/>
    <cellStyle name="Comma 4 4 3 8" xfId="2788" xr:uid="{00000000-0005-0000-0000-00000F0A0000}"/>
    <cellStyle name="Comma 4 4 3 8 2" xfId="7013" xr:uid="{00000000-0005-0000-0000-0000100A0000}"/>
    <cellStyle name="Comma 4 4 3 8 2 2" xfId="15442" xr:uid="{547894C5-CFC5-467B-81B1-FD35A2A61AB8}"/>
    <cellStyle name="Comma 4 4 3 8 2 3" xfId="23870" xr:uid="{1CE9FA6D-CE92-409C-89CC-343671A4038A}"/>
    <cellStyle name="Comma 4 4 3 8 3" xfId="11224" xr:uid="{603A9862-4050-4E41-88D0-2B4A22DAB260}"/>
    <cellStyle name="Comma 4 4 3 8 4" xfId="19653" xr:uid="{1194E6DE-F190-43EA-BEC3-2517FA0CFE70}"/>
    <cellStyle name="Comma 4 4 3 9" xfId="4630" xr:uid="{00000000-0005-0000-0000-0000110A0000}"/>
    <cellStyle name="Comma 4 4 3 9 2" xfId="13059" xr:uid="{68C9D9F1-CB13-4152-A874-048EA217E268}"/>
    <cellStyle name="Comma 4 4 3 9 3" xfId="21487" xr:uid="{3B2CD8CA-650B-41DE-A70C-C3A8C86533BA}"/>
    <cellStyle name="Comma 4 4 4" xfId="691" xr:uid="{00000000-0005-0000-0000-0000120A0000}"/>
    <cellStyle name="Comma 4 4 4 2" xfId="2962" xr:uid="{00000000-0005-0000-0000-0000130A0000}"/>
    <cellStyle name="Comma 4 4 4 2 2" xfId="7186" xr:uid="{00000000-0005-0000-0000-0000140A0000}"/>
    <cellStyle name="Comma 4 4 4 2 2 2" xfId="15615" xr:uid="{EF548938-752C-4936-B74E-A95B061EADCA}"/>
    <cellStyle name="Comma 4 4 4 2 2 3" xfId="24043" xr:uid="{E7FF9207-565A-4999-9A14-28098FA0BF14}"/>
    <cellStyle name="Comma 4 4 4 2 3" xfId="11397" xr:uid="{45DFAB6F-123F-4DD3-BB98-B0B3BD63F77C}"/>
    <cellStyle name="Comma 4 4 4 2 4" xfId="19826" xr:uid="{EABDADB0-B135-428B-9955-BFC0578E848C}"/>
    <cellStyle name="Comma 4 4 4 3" xfId="5041" xr:uid="{00000000-0005-0000-0000-0000150A0000}"/>
    <cellStyle name="Comma 4 4 4 3 2" xfId="13470" xr:uid="{EAF5EAEB-8EA0-4202-9FBB-1E147488BB8D}"/>
    <cellStyle name="Comma 4 4 4 3 3" xfId="21898" xr:uid="{9C027234-99AF-4B60-B944-180688716198}"/>
    <cellStyle name="Comma 4 4 4 4" xfId="9252" xr:uid="{38489B20-177F-4E1E-A11D-F017DD386D6E}"/>
    <cellStyle name="Comma 4 4 4 5" xfId="17681" xr:uid="{55CE32ED-8526-4419-9C60-EE882768ACE3}"/>
    <cellStyle name="Comma 4 4 5" xfId="1144" xr:uid="{00000000-0005-0000-0000-0000160A0000}"/>
    <cellStyle name="Comma 4 4 5 2" xfId="3375" xr:uid="{00000000-0005-0000-0000-0000170A0000}"/>
    <cellStyle name="Comma 4 4 5 2 2" xfId="7599" xr:uid="{00000000-0005-0000-0000-0000180A0000}"/>
    <cellStyle name="Comma 4 4 5 2 2 2" xfId="16028" xr:uid="{0026703B-DD03-408D-ADDF-6C50D4588066}"/>
    <cellStyle name="Comma 4 4 5 2 2 3" xfId="24456" xr:uid="{183E21F1-1877-4ED5-8D6C-D3491D28A712}"/>
    <cellStyle name="Comma 4 4 5 2 3" xfId="11810" xr:uid="{C481FFDA-F4E0-402E-BAB5-E7F28F113802}"/>
    <cellStyle name="Comma 4 4 5 2 4" xfId="20239" xr:uid="{5C1DE694-4138-4448-9931-2896F4F420A2}"/>
    <cellStyle name="Comma 4 4 5 3" xfId="5454" xr:uid="{00000000-0005-0000-0000-0000190A0000}"/>
    <cellStyle name="Comma 4 4 5 3 2" xfId="13883" xr:uid="{F3560A2A-4AA4-4984-8F7B-2DFA7C3E53B9}"/>
    <cellStyle name="Comma 4 4 5 3 3" xfId="22311" xr:uid="{954C55B5-2CEB-4E45-A578-79E707E9E7E6}"/>
    <cellStyle name="Comma 4 4 5 4" xfId="9665" xr:uid="{2A6A8E76-4198-49F6-9FAE-F8A26136297C}"/>
    <cellStyle name="Comma 4 4 5 5" xfId="18094" xr:uid="{DAF6F137-831D-4DA3-A877-7E014468216A}"/>
    <cellStyle name="Comma 4 4 6" xfId="1558" xr:uid="{00000000-0005-0000-0000-00001A0A0000}"/>
    <cellStyle name="Comma 4 4 6 2" xfId="3788" xr:uid="{00000000-0005-0000-0000-00001B0A0000}"/>
    <cellStyle name="Comma 4 4 6 2 2" xfId="8012" xr:uid="{00000000-0005-0000-0000-00001C0A0000}"/>
    <cellStyle name="Comma 4 4 6 2 2 2" xfId="16441" xr:uid="{2544DDA9-87A0-4299-9CBE-408064643188}"/>
    <cellStyle name="Comma 4 4 6 2 2 3" xfId="24869" xr:uid="{B660E23C-4C18-401D-9A22-58798E405B37}"/>
    <cellStyle name="Comma 4 4 6 2 3" xfId="12223" xr:uid="{0588978A-960B-4CB6-9ED4-E0D8D8471FAB}"/>
    <cellStyle name="Comma 4 4 6 2 4" xfId="20652" xr:uid="{082A3AA5-01FA-4F52-9234-9A61D564C421}"/>
    <cellStyle name="Comma 4 4 6 3" xfId="5867" xr:uid="{00000000-0005-0000-0000-00001D0A0000}"/>
    <cellStyle name="Comma 4 4 6 3 2" xfId="14296" xr:uid="{5E85BB12-335E-414A-B1C9-71CFF1199A7D}"/>
    <cellStyle name="Comma 4 4 6 3 3" xfId="22724" xr:uid="{A6585708-1A50-47B8-9E33-CC02A428428A}"/>
    <cellStyle name="Comma 4 4 6 4" xfId="10078" xr:uid="{E3044E3D-5A6B-4363-B10D-DB0E9937704E}"/>
    <cellStyle name="Comma 4 4 6 5" xfId="18507" xr:uid="{7147BE41-4104-4F34-8823-59125621F348}"/>
    <cellStyle name="Comma 4 4 7" xfId="1972" xr:uid="{00000000-0005-0000-0000-00001E0A0000}"/>
    <cellStyle name="Comma 4 4 7 2" xfId="4201" xr:uid="{00000000-0005-0000-0000-00001F0A0000}"/>
    <cellStyle name="Comma 4 4 7 2 2" xfId="8425" xr:uid="{00000000-0005-0000-0000-0000200A0000}"/>
    <cellStyle name="Comma 4 4 7 2 2 2" xfId="16854" xr:uid="{8E2427B5-BDD0-467F-AC69-75C4CE1108E3}"/>
    <cellStyle name="Comma 4 4 7 2 2 3" xfId="25282" xr:uid="{16D2DA5A-995F-45C9-AEA7-BBDE750D2330}"/>
    <cellStyle name="Comma 4 4 7 2 3" xfId="12636" xr:uid="{35E45C30-6D8E-4A66-83C0-096C75511D92}"/>
    <cellStyle name="Comma 4 4 7 2 4" xfId="21065" xr:uid="{69D55E69-4AB8-4846-87F6-C6E54EC1723B}"/>
    <cellStyle name="Comma 4 4 7 3" xfId="6280" xr:uid="{00000000-0005-0000-0000-0000210A0000}"/>
    <cellStyle name="Comma 4 4 7 3 2" xfId="14709" xr:uid="{37F354A7-ABB5-45DD-BCA4-21C9D675A015}"/>
    <cellStyle name="Comma 4 4 7 3 3" xfId="23137" xr:uid="{253B35E6-5582-4E15-8448-301CBCC11E08}"/>
    <cellStyle name="Comma 4 4 7 4" xfId="10491" xr:uid="{3A6DBFCF-FB60-4181-9654-9090ED80BD6F}"/>
    <cellStyle name="Comma 4 4 7 5" xfId="18920" xr:uid="{3921A63D-9C6C-4212-967D-181747CC6D3F}"/>
    <cellStyle name="Comma 4 4 8" xfId="2407" xr:uid="{00000000-0005-0000-0000-0000220A0000}"/>
    <cellStyle name="Comma 4 4 8 2" xfId="6693" xr:uid="{00000000-0005-0000-0000-0000230A0000}"/>
    <cellStyle name="Comma 4 4 8 2 2" xfId="15122" xr:uid="{D0916331-198E-440F-AAF1-D026AFD61775}"/>
    <cellStyle name="Comma 4 4 8 2 3" xfId="23550" xr:uid="{8ED9ED72-2050-47F2-B74D-3C8ADB421C30}"/>
    <cellStyle name="Comma 4 4 8 3" xfId="10904" xr:uid="{DCF65F11-D888-42BD-A16D-2C25C12C512B}"/>
    <cellStyle name="Comma 4 4 8 4" xfId="19333" xr:uid="{1B4F2B9C-90CF-40C7-9E3F-91AEC67E8CBE}"/>
    <cellStyle name="Comma 4 4 9" xfId="2703" xr:uid="{00000000-0005-0000-0000-0000240A0000}"/>
    <cellStyle name="Comma 4 5" xfId="157" xr:uid="{00000000-0005-0000-0000-0000250A0000}"/>
    <cellStyle name="Comma 4 5 10" xfId="4631" xr:uid="{00000000-0005-0000-0000-0000260A0000}"/>
    <cellStyle name="Comma 4 5 10 2" xfId="13060" xr:uid="{E33595E3-87A2-45DB-ABD6-0ECB0B99F7A4}"/>
    <cellStyle name="Comma 4 5 10 3" xfId="21488" xr:uid="{7EDD24F2-9D98-438B-925D-87F932CDE090}"/>
    <cellStyle name="Comma 4 5 11" xfId="8842" xr:uid="{C6D319DC-22E2-4FDC-9BBD-51BBE3F8F157}"/>
    <cellStyle name="Comma 4 5 12" xfId="17271" xr:uid="{4E09A8DC-54ED-4D33-9F71-FA629F260039}"/>
    <cellStyle name="Comma 4 5 2" xfId="158" xr:uid="{00000000-0005-0000-0000-0000270A0000}"/>
    <cellStyle name="Comma 4 5 2 10" xfId="8843" xr:uid="{35ABADD2-03DA-4E9A-BC8C-D4116C18F247}"/>
    <cellStyle name="Comma 4 5 2 11" xfId="17272" xr:uid="{F4A9D61D-84DB-4F63-8131-9389DD8A37A6}"/>
    <cellStyle name="Comma 4 5 2 2" xfId="696" xr:uid="{00000000-0005-0000-0000-0000280A0000}"/>
    <cellStyle name="Comma 4 5 2 2 2" xfId="2967" xr:uid="{00000000-0005-0000-0000-0000290A0000}"/>
    <cellStyle name="Comma 4 5 2 2 2 2" xfId="7191" xr:uid="{00000000-0005-0000-0000-00002A0A0000}"/>
    <cellStyle name="Comma 4 5 2 2 2 2 2" xfId="15620" xr:uid="{B409FB56-8CCB-414C-9DAE-85C1C49DE205}"/>
    <cellStyle name="Comma 4 5 2 2 2 2 3" xfId="24048" xr:uid="{F1899EA6-A059-44FC-9BEE-60C9FC9B5BFF}"/>
    <cellStyle name="Comma 4 5 2 2 2 3" xfId="11402" xr:uid="{A320640D-C734-4D4A-9150-48DFC58BE87F}"/>
    <cellStyle name="Comma 4 5 2 2 2 4" xfId="19831" xr:uid="{4F714373-FC2E-4182-B8FB-68E1DF29DD7D}"/>
    <cellStyle name="Comma 4 5 2 2 3" xfId="5046" xr:uid="{00000000-0005-0000-0000-00002B0A0000}"/>
    <cellStyle name="Comma 4 5 2 2 3 2" xfId="13475" xr:uid="{C6A94A7C-2A38-4DB2-A1DA-29B9F94EA3FB}"/>
    <cellStyle name="Comma 4 5 2 2 3 3" xfId="21903" xr:uid="{45B901EE-851A-4692-B301-F6126191AF9A}"/>
    <cellStyle name="Comma 4 5 2 2 4" xfId="9257" xr:uid="{2915E243-7B93-48FF-9FAC-33CF589E4F2F}"/>
    <cellStyle name="Comma 4 5 2 2 5" xfId="17686" xr:uid="{FCCFB7FD-1C84-40D5-9F5D-B99BC72FD91E}"/>
    <cellStyle name="Comma 4 5 2 3" xfId="1149" xr:uid="{00000000-0005-0000-0000-00002C0A0000}"/>
    <cellStyle name="Comma 4 5 2 3 2" xfId="3380" xr:uid="{00000000-0005-0000-0000-00002D0A0000}"/>
    <cellStyle name="Comma 4 5 2 3 2 2" xfId="7604" xr:uid="{00000000-0005-0000-0000-00002E0A0000}"/>
    <cellStyle name="Comma 4 5 2 3 2 2 2" xfId="16033" xr:uid="{2DD5A710-FA6B-4153-A5DD-1B31D3E20174}"/>
    <cellStyle name="Comma 4 5 2 3 2 2 3" xfId="24461" xr:uid="{9508F0C5-7291-4C7C-8D75-6E9CCABF2F90}"/>
    <cellStyle name="Comma 4 5 2 3 2 3" xfId="11815" xr:uid="{46DAC4D3-0EF6-42CC-9A0B-CB400CB957B9}"/>
    <cellStyle name="Comma 4 5 2 3 2 4" xfId="20244" xr:uid="{D5FA0CB5-CB2D-448E-88CB-7B6D9F8FE130}"/>
    <cellStyle name="Comma 4 5 2 3 3" xfId="5459" xr:uid="{00000000-0005-0000-0000-00002F0A0000}"/>
    <cellStyle name="Comma 4 5 2 3 3 2" xfId="13888" xr:uid="{CFEB5B74-EB6A-44DD-9CC7-14E25D2D9B1A}"/>
    <cellStyle name="Comma 4 5 2 3 3 3" xfId="22316" xr:uid="{17F420B7-24D8-495C-BD87-738324D2A37C}"/>
    <cellStyle name="Comma 4 5 2 3 4" xfId="9670" xr:uid="{F822982A-B6E4-4B29-B142-30B70E5D5B03}"/>
    <cellStyle name="Comma 4 5 2 3 5" xfId="18099" xr:uid="{43E2AD73-5578-4C7F-9283-39908E118AB8}"/>
    <cellStyle name="Comma 4 5 2 4" xfId="1563" xr:uid="{00000000-0005-0000-0000-0000300A0000}"/>
    <cellStyle name="Comma 4 5 2 4 2" xfId="3793" xr:uid="{00000000-0005-0000-0000-0000310A0000}"/>
    <cellStyle name="Comma 4 5 2 4 2 2" xfId="8017" xr:uid="{00000000-0005-0000-0000-0000320A0000}"/>
    <cellStyle name="Comma 4 5 2 4 2 2 2" xfId="16446" xr:uid="{0A41BE84-2AC3-40E3-9322-702C4F7B1DF7}"/>
    <cellStyle name="Comma 4 5 2 4 2 2 3" xfId="24874" xr:uid="{48DF6835-466B-47E8-A7FA-DAEAD05E54D9}"/>
    <cellStyle name="Comma 4 5 2 4 2 3" xfId="12228" xr:uid="{4DD6D086-4F3D-4769-A8C2-DDEF972AC842}"/>
    <cellStyle name="Comma 4 5 2 4 2 4" xfId="20657" xr:uid="{A44CF828-7615-41BE-A0C9-9EBABB656513}"/>
    <cellStyle name="Comma 4 5 2 4 3" xfId="5872" xr:uid="{00000000-0005-0000-0000-0000330A0000}"/>
    <cellStyle name="Comma 4 5 2 4 3 2" xfId="14301" xr:uid="{7840CC94-AD3D-49FD-9074-C64E94520A66}"/>
    <cellStyle name="Comma 4 5 2 4 3 3" xfId="22729" xr:uid="{1BDAA7F9-42ED-4521-8953-AD55DFA0C0EF}"/>
    <cellStyle name="Comma 4 5 2 4 4" xfId="10083" xr:uid="{C754DECE-A825-4762-8A75-06AC93EC0DFE}"/>
    <cellStyle name="Comma 4 5 2 4 5" xfId="18512" xr:uid="{021E8112-E13E-44E4-A423-E64553B713F9}"/>
    <cellStyle name="Comma 4 5 2 5" xfId="1977" xr:uid="{00000000-0005-0000-0000-0000340A0000}"/>
    <cellStyle name="Comma 4 5 2 5 2" xfId="4206" xr:uid="{00000000-0005-0000-0000-0000350A0000}"/>
    <cellStyle name="Comma 4 5 2 5 2 2" xfId="8430" xr:uid="{00000000-0005-0000-0000-0000360A0000}"/>
    <cellStyle name="Comma 4 5 2 5 2 2 2" xfId="16859" xr:uid="{7FB05F12-087B-4C01-A1CB-FDDAE31833D3}"/>
    <cellStyle name="Comma 4 5 2 5 2 2 3" xfId="25287" xr:uid="{12E38774-62B3-4388-BE09-4D3A8DF1220D}"/>
    <cellStyle name="Comma 4 5 2 5 2 3" xfId="12641" xr:uid="{E65F2A90-6916-4BE2-9E67-F93A3E061DCB}"/>
    <cellStyle name="Comma 4 5 2 5 2 4" xfId="21070" xr:uid="{A508F9E6-D894-4DC7-83E1-A61A714A1BF0}"/>
    <cellStyle name="Comma 4 5 2 5 3" xfId="6285" xr:uid="{00000000-0005-0000-0000-0000370A0000}"/>
    <cellStyle name="Comma 4 5 2 5 3 2" xfId="14714" xr:uid="{8B679DB6-457B-41D5-9F37-DA06372D0C24}"/>
    <cellStyle name="Comma 4 5 2 5 3 3" xfId="23142" xr:uid="{5BE2A19A-30D1-433B-98D3-63BE9953C6D0}"/>
    <cellStyle name="Comma 4 5 2 5 4" xfId="10496" xr:uid="{BEDAC936-563B-4606-9C4A-3B536D09C684}"/>
    <cellStyle name="Comma 4 5 2 5 5" xfId="18925" xr:uid="{F7FE8D51-6678-4079-B9BA-F03265923870}"/>
    <cellStyle name="Comma 4 5 2 6" xfId="2412" xr:uid="{00000000-0005-0000-0000-0000380A0000}"/>
    <cellStyle name="Comma 4 5 2 6 2" xfId="6698" xr:uid="{00000000-0005-0000-0000-0000390A0000}"/>
    <cellStyle name="Comma 4 5 2 6 2 2" xfId="15127" xr:uid="{8A160A1A-A8B4-4D69-9DB2-982B49751B4C}"/>
    <cellStyle name="Comma 4 5 2 6 2 3" xfId="23555" xr:uid="{B08F5C78-42C9-4EE6-A6EA-64519FC96CD0}"/>
    <cellStyle name="Comma 4 5 2 6 3" xfId="10909" xr:uid="{C201888A-C9C3-41E0-AE9B-A6B0F6CD56A0}"/>
    <cellStyle name="Comma 4 5 2 6 4" xfId="19338" xr:uid="{78C3C743-AAC4-48BE-BD38-C410F4B0AF88}"/>
    <cellStyle name="Comma 4 5 2 7" xfId="2708" xr:uid="{00000000-0005-0000-0000-00003A0A0000}"/>
    <cellStyle name="Comma 4 5 2 8" xfId="2790" xr:uid="{00000000-0005-0000-0000-00003B0A0000}"/>
    <cellStyle name="Comma 4 5 2 8 2" xfId="7015" xr:uid="{00000000-0005-0000-0000-00003C0A0000}"/>
    <cellStyle name="Comma 4 5 2 8 2 2" xfId="15444" xr:uid="{A20A7C21-F0CB-4130-BFC4-F3F2817245C4}"/>
    <cellStyle name="Comma 4 5 2 8 2 3" xfId="23872" xr:uid="{55EC9082-E46B-4306-BB2D-CC5FCE12355D}"/>
    <cellStyle name="Comma 4 5 2 8 3" xfId="11226" xr:uid="{93F7BEC0-EEFF-4043-A5AF-3C781A38048C}"/>
    <cellStyle name="Comma 4 5 2 8 4" xfId="19655" xr:uid="{307EC8E9-5B15-421C-8014-8F22C0233BE4}"/>
    <cellStyle name="Comma 4 5 2 9" xfId="4632" xr:uid="{00000000-0005-0000-0000-00003D0A0000}"/>
    <cellStyle name="Comma 4 5 2 9 2" xfId="13061" xr:uid="{7EED8763-ADED-478B-A427-8B38EE2FABED}"/>
    <cellStyle name="Comma 4 5 2 9 3" xfId="21489" xr:uid="{E79BF152-4BE7-4F66-A0FA-A005712676E2}"/>
    <cellStyle name="Comma 4 5 3" xfId="695" xr:uid="{00000000-0005-0000-0000-00003E0A0000}"/>
    <cellStyle name="Comma 4 5 3 2" xfId="2966" xr:uid="{00000000-0005-0000-0000-00003F0A0000}"/>
    <cellStyle name="Comma 4 5 3 2 2" xfId="7190" xr:uid="{00000000-0005-0000-0000-0000400A0000}"/>
    <cellStyle name="Comma 4 5 3 2 2 2" xfId="15619" xr:uid="{C2D94D42-D68D-41E2-8FCE-3A3C546ABFE5}"/>
    <cellStyle name="Comma 4 5 3 2 2 3" xfId="24047" xr:uid="{69A11C97-8936-4090-BFE3-9C4FD7599CE7}"/>
    <cellStyle name="Comma 4 5 3 2 3" xfId="11401" xr:uid="{6BE80543-1A9A-4B10-AE1A-2769C60CED75}"/>
    <cellStyle name="Comma 4 5 3 2 4" xfId="19830" xr:uid="{A5418862-C10A-4B23-B427-01DE9840C731}"/>
    <cellStyle name="Comma 4 5 3 3" xfId="5045" xr:uid="{00000000-0005-0000-0000-0000410A0000}"/>
    <cellStyle name="Comma 4 5 3 3 2" xfId="13474" xr:uid="{143C8250-42EF-46EC-9589-BD44727A439C}"/>
    <cellStyle name="Comma 4 5 3 3 3" xfId="21902" xr:uid="{19C2A00D-D054-4C6B-8971-3503F3A59A9B}"/>
    <cellStyle name="Comma 4 5 3 4" xfId="9256" xr:uid="{5160B020-D5A6-4AC1-A534-95D161F9C5DF}"/>
    <cellStyle name="Comma 4 5 3 5" xfId="17685" xr:uid="{94CCA0F2-5B4C-47C8-916F-B96FE156ED0F}"/>
    <cellStyle name="Comma 4 5 4" xfId="1148" xr:uid="{00000000-0005-0000-0000-0000420A0000}"/>
    <cellStyle name="Comma 4 5 4 2" xfId="3379" xr:uid="{00000000-0005-0000-0000-0000430A0000}"/>
    <cellStyle name="Comma 4 5 4 2 2" xfId="7603" xr:uid="{00000000-0005-0000-0000-0000440A0000}"/>
    <cellStyle name="Comma 4 5 4 2 2 2" xfId="16032" xr:uid="{895D3671-4199-47F8-A3AD-19FF22CB573D}"/>
    <cellStyle name="Comma 4 5 4 2 2 3" xfId="24460" xr:uid="{907292AC-208F-49D6-8EC2-8D927A159C29}"/>
    <cellStyle name="Comma 4 5 4 2 3" xfId="11814" xr:uid="{9A9A0A77-E8C8-4589-8E76-BA1B10D1D16B}"/>
    <cellStyle name="Comma 4 5 4 2 4" xfId="20243" xr:uid="{AA47F4D9-AEC0-4FDD-BE40-58169904BA95}"/>
    <cellStyle name="Comma 4 5 4 3" xfId="5458" xr:uid="{00000000-0005-0000-0000-0000450A0000}"/>
    <cellStyle name="Comma 4 5 4 3 2" xfId="13887" xr:uid="{FD9DBEA6-0F5A-4976-A635-D0F172C53401}"/>
    <cellStyle name="Comma 4 5 4 3 3" xfId="22315" xr:uid="{65B77E71-BF28-4031-AD0F-6F8EC2E46F1A}"/>
    <cellStyle name="Comma 4 5 4 4" xfId="9669" xr:uid="{7D9397E4-8AE2-4375-9E74-C1703D1AD476}"/>
    <cellStyle name="Comma 4 5 4 5" xfId="18098" xr:uid="{D5FA198A-CEB5-4E5A-AA30-A672E7F4E099}"/>
    <cellStyle name="Comma 4 5 5" xfId="1562" xr:uid="{00000000-0005-0000-0000-0000460A0000}"/>
    <cellStyle name="Comma 4 5 5 2" xfId="3792" xr:uid="{00000000-0005-0000-0000-0000470A0000}"/>
    <cellStyle name="Comma 4 5 5 2 2" xfId="8016" xr:uid="{00000000-0005-0000-0000-0000480A0000}"/>
    <cellStyle name="Comma 4 5 5 2 2 2" xfId="16445" xr:uid="{66B54046-1E37-4D30-AE52-F9CFF3C82729}"/>
    <cellStyle name="Comma 4 5 5 2 2 3" xfId="24873" xr:uid="{BABCBB18-C32B-4C9D-B0F6-0664245D8A38}"/>
    <cellStyle name="Comma 4 5 5 2 3" xfId="12227" xr:uid="{2D776D34-87D4-4F54-B9B3-D6151901032A}"/>
    <cellStyle name="Comma 4 5 5 2 4" xfId="20656" xr:uid="{08B60A92-5EB4-4F60-A029-1DFF69B29E52}"/>
    <cellStyle name="Comma 4 5 5 3" xfId="5871" xr:uid="{00000000-0005-0000-0000-0000490A0000}"/>
    <cellStyle name="Comma 4 5 5 3 2" xfId="14300" xr:uid="{033F6E8A-00DB-45BC-B97C-16B9B08C7188}"/>
    <cellStyle name="Comma 4 5 5 3 3" xfId="22728" xr:uid="{EC67233C-C169-4F8D-AD71-061A29F1F4BC}"/>
    <cellStyle name="Comma 4 5 5 4" xfId="10082" xr:uid="{809542DB-EF0F-468D-8470-F23A3B3F72B8}"/>
    <cellStyle name="Comma 4 5 5 5" xfId="18511" xr:uid="{7DC72B8C-9670-410F-81B7-527EDB6F0BF9}"/>
    <cellStyle name="Comma 4 5 6" xfId="1976" xr:uid="{00000000-0005-0000-0000-00004A0A0000}"/>
    <cellStyle name="Comma 4 5 6 2" xfId="4205" xr:uid="{00000000-0005-0000-0000-00004B0A0000}"/>
    <cellStyle name="Comma 4 5 6 2 2" xfId="8429" xr:uid="{00000000-0005-0000-0000-00004C0A0000}"/>
    <cellStyle name="Comma 4 5 6 2 2 2" xfId="16858" xr:uid="{BB72AA5F-2CE1-4248-BE38-0733C2DADC42}"/>
    <cellStyle name="Comma 4 5 6 2 2 3" xfId="25286" xr:uid="{D4EC2C56-AE54-4AAD-92F1-42E7CD564391}"/>
    <cellStyle name="Comma 4 5 6 2 3" xfId="12640" xr:uid="{E025C6E0-18A9-41BD-BEF7-01E142D8C449}"/>
    <cellStyle name="Comma 4 5 6 2 4" xfId="21069" xr:uid="{A1930A61-E190-4F96-B170-2DAA37D37F71}"/>
    <cellStyle name="Comma 4 5 6 3" xfId="6284" xr:uid="{00000000-0005-0000-0000-00004D0A0000}"/>
    <cellStyle name="Comma 4 5 6 3 2" xfId="14713" xr:uid="{3E9D9C09-3588-42F0-8F6D-8A37BA5C244E}"/>
    <cellStyle name="Comma 4 5 6 3 3" xfId="23141" xr:uid="{4FB30FC4-4CAC-4269-98B2-EFB70D270E92}"/>
    <cellStyle name="Comma 4 5 6 4" xfId="10495" xr:uid="{77BD6EAF-39C5-420D-A98E-C02C5197518B}"/>
    <cellStyle name="Comma 4 5 6 5" xfId="18924" xr:uid="{D0D38740-307A-446F-ABCA-43BF9A41CDD1}"/>
    <cellStyle name="Comma 4 5 7" xfId="2411" xr:uid="{00000000-0005-0000-0000-00004E0A0000}"/>
    <cellStyle name="Comma 4 5 7 2" xfId="6697" xr:uid="{00000000-0005-0000-0000-00004F0A0000}"/>
    <cellStyle name="Comma 4 5 7 2 2" xfId="15126" xr:uid="{E125F69F-40F6-4320-8B42-15041BBCC169}"/>
    <cellStyle name="Comma 4 5 7 2 3" xfId="23554" xr:uid="{6B2BD88C-666C-4769-B397-B6FB7A9843AE}"/>
    <cellStyle name="Comma 4 5 7 3" xfId="10908" xr:uid="{0F4C0068-0A07-4FB5-A289-65FB9EC158C0}"/>
    <cellStyle name="Comma 4 5 7 4" xfId="19337" xr:uid="{DC8EF0EC-6F6A-4992-832D-EBF677DF486F}"/>
    <cellStyle name="Comma 4 5 8" xfId="2707" xr:uid="{00000000-0005-0000-0000-0000500A0000}"/>
    <cellStyle name="Comma 4 5 9" xfId="2789" xr:uid="{00000000-0005-0000-0000-0000510A0000}"/>
    <cellStyle name="Comma 4 5 9 2" xfId="7014" xr:uid="{00000000-0005-0000-0000-0000520A0000}"/>
    <cellStyle name="Comma 4 5 9 2 2" xfId="15443" xr:uid="{63983D42-5008-424A-8140-0450B6012052}"/>
    <cellStyle name="Comma 4 5 9 2 3" xfId="23871" xr:uid="{E477B999-DE52-497D-AC3A-C0759B49AB69}"/>
    <cellStyle name="Comma 4 5 9 3" xfId="11225" xr:uid="{65F8B77D-2428-4EBF-BFF9-B6BDE263E0D0}"/>
    <cellStyle name="Comma 4 5 9 4" xfId="19654" xr:uid="{E49993AC-8571-46FF-A113-12C7F8017407}"/>
    <cellStyle name="Comma 4 6" xfId="159" xr:uid="{00000000-0005-0000-0000-0000530A0000}"/>
    <cellStyle name="Comma 4 6 10" xfId="8844" xr:uid="{E3A1E7C6-0B05-4489-B662-C45BF56D4757}"/>
    <cellStyle name="Comma 4 6 11" xfId="17273" xr:uid="{FB9C8F56-F9F5-40B5-B0B5-4DD25A639A88}"/>
    <cellStyle name="Comma 4 6 2" xfId="697" xr:uid="{00000000-0005-0000-0000-0000540A0000}"/>
    <cellStyle name="Comma 4 6 2 2" xfId="2968" xr:uid="{00000000-0005-0000-0000-0000550A0000}"/>
    <cellStyle name="Comma 4 6 2 2 2" xfId="7192" xr:uid="{00000000-0005-0000-0000-0000560A0000}"/>
    <cellStyle name="Comma 4 6 2 2 2 2" xfId="15621" xr:uid="{A057CEC8-2F6C-43CB-BFD5-CADF1AF7442F}"/>
    <cellStyle name="Comma 4 6 2 2 2 3" xfId="24049" xr:uid="{E3D33BA9-BB6E-4395-BEFE-D1F535BCF6CA}"/>
    <cellStyle name="Comma 4 6 2 2 3" xfId="11403" xr:uid="{5440326F-D0F3-4D30-8484-575F0776ED2F}"/>
    <cellStyle name="Comma 4 6 2 2 4" xfId="19832" xr:uid="{BA0E4C07-364B-4D02-B2F8-5EA1D89CF22C}"/>
    <cellStyle name="Comma 4 6 2 3" xfId="5047" xr:uid="{00000000-0005-0000-0000-0000570A0000}"/>
    <cellStyle name="Comma 4 6 2 3 2" xfId="13476" xr:uid="{102E159C-854C-4573-B6CE-4513EB04B624}"/>
    <cellStyle name="Comma 4 6 2 3 3" xfId="21904" xr:uid="{4BE776B3-C273-4B48-AB1B-15368912B36C}"/>
    <cellStyle name="Comma 4 6 2 4" xfId="9258" xr:uid="{C6494D21-074E-454D-BDD1-EBCD99EE8A35}"/>
    <cellStyle name="Comma 4 6 2 5" xfId="17687" xr:uid="{BAD51F9D-05DD-4B16-A917-943890133F63}"/>
    <cellStyle name="Comma 4 6 3" xfId="1150" xr:uid="{00000000-0005-0000-0000-0000580A0000}"/>
    <cellStyle name="Comma 4 6 3 2" xfId="3381" xr:uid="{00000000-0005-0000-0000-0000590A0000}"/>
    <cellStyle name="Comma 4 6 3 2 2" xfId="7605" xr:uid="{00000000-0005-0000-0000-00005A0A0000}"/>
    <cellStyle name="Comma 4 6 3 2 2 2" xfId="16034" xr:uid="{CDC150C4-0DA3-472E-A85B-DB871B4E738F}"/>
    <cellStyle name="Comma 4 6 3 2 2 3" xfId="24462" xr:uid="{EE43F009-3FDC-4910-845B-12F2E8C09E76}"/>
    <cellStyle name="Comma 4 6 3 2 3" xfId="11816" xr:uid="{5C9991D5-A4AE-4355-82C8-E316F76A4399}"/>
    <cellStyle name="Comma 4 6 3 2 4" xfId="20245" xr:uid="{461CE6DB-FFE3-45BF-8B5C-85473F347A3B}"/>
    <cellStyle name="Comma 4 6 3 3" xfId="5460" xr:uid="{00000000-0005-0000-0000-00005B0A0000}"/>
    <cellStyle name="Comma 4 6 3 3 2" xfId="13889" xr:uid="{CA9F4674-1061-4656-97AF-BA97BC1CD028}"/>
    <cellStyle name="Comma 4 6 3 3 3" xfId="22317" xr:uid="{4020B0EE-60AA-487C-B561-078F6CA6F119}"/>
    <cellStyle name="Comma 4 6 3 4" xfId="9671" xr:uid="{69518455-49D6-4C24-B9E3-842670A1EC1B}"/>
    <cellStyle name="Comma 4 6 3 5" xfId="18100" xr:uid="{3F70905C-7054-462C-8CED-542CD8891031}"/>
    <cellStyle name="Comma 4 6 4" xfId="1564" xr:uid="{00000000-0005-0000-0000-00005C0A0000}"/>
    <cellStyle name="Comma 4 6 4 2" xfId="3794" xr:uid="{00000000-0005-0000-0000-00005D0A0000}"/>
    <cellStyle name="Comma 4 6 4 2 2" xfId="8018" xr:uid="{00000000-0005-0000-0000-00005E0A0000}"/>
    <cellStyle name="Comma 4 6 4 2 2 2" xfId="16447" xr:uid="{1F2E0D01-5E18-4D23-89C9-90067DEC65F3}"/>
    <cellStyle name="Comma 4 6 4 2 2 3" xfId="24875" xr:uid="{79ECDE05-A83B-4C43-824A-1BDA32ED93E3}"/>
    <cellStyle name="Comma 4 6 4 2 3" xfId="12229" xr:uid="{0B520859-2204-4585-AECA-745FD4B78C81}"/>
    <cellStyle name="Comma 4 6 4 2 4" xfId="20658" xr:uid="{2CB2F181-C579-4330-A394-ED53DB5A2775}"/>
    <cellStyle name="Comma 4 6 4 3" xfId="5873" xr:uid="{00000000-0005-0000-0000-00005F0A0000}"/>
    <cellStyle name="Comma 4 6 4 3 2" xfId="14302" xr:uid="{C533D2B9-5724-4317-8CE7-CDF2C297C193}"/>
    <cellStyle name="Comma 4 6 4 3 3" xfId="22730" xr:uid="{C34108C3-69EA-4645-B726-5965A509EBAF}"/>
    <cellStyle name="Comma 4 6 4 4" xfId="10084" xr:uid="{1DF5276E-CB43-459C-90E2-5B0BE50F2072}"/>
    <cellStyle name="Comma 4 6 4 5" xfId="18513" xr:uid="{D03A56EB-848C-4C6F-9C9E-05452C99829A}"/>
    <cellStyle name="Comma 4 6 5" xfId="1978" xr:uid="{00000000-0005-0000-0000-0000600A0000}"/>
    <cellStyle name="Comma 4 6 5 2" xfId="4207" xr:uid="{00000000-0005-0000-0000-0000610A0000}"/>
    <cellStyle name="Comma 4 6 5 2 2" xfId="8431" xr:uid="{00000000-0005-0000-0000-0000620A0000}"/>
    <cellStyle name="Comma 4 6 5 2 2 2" xfId="16860" xr:uid="{EA6656B1-FBB0-4581-A44A-9EC96257F94A}"/>
    <cellStyle name="Comma 4 6 5 2 2 3" xfId="25288" xr:uid="{A7F52959-282D-42CA-BF98-04127DE1A4EC}"/>
    <cellStyle name="Comma 4 6 5 2 3" xfId="12642" xr:uid="{37CA2E6C-39F1-4EE4-A6E7-40A12966075E}"/>
    <cellStyle name="Comma 4 6 5 2 4" xfId="21071" xr:uid="{159A16EB-668A-400F-A7A5-4C3CE800F864}"/>
    <cellStyle name="Comma 4 6 5 3" xfId="6286" xr:uid="{00000000-0005-0000-0000-0000630A0000}"/>
    <cellStyle name="Comma 4 6 5 3 2" xfId="14715" xr:uid="{9A2EAF1D-77E2-4A11-809B-3B242BD977C0}"/>
    <cellStyle name="Comma 4 6 5 3 3" xfId="23143" xr:uid="{BF822FD5-B9E9-4D51-AD5A-D7C27E68B7AE}"/>
    <cellStyle name="Comma 4 6 5 4" xfId="10497" xr:uid="{4A17A0FE-A792-4E1D-948A-71C169C8314D}"/>
    <cellStyle name="Comma 4 6 5 5" xfId="18926" xr:uid="{8606EE70-301A-4DAD-9583-7BD73F115DFF}"/>
    <cellStyle name="Comma 4 6 6" xfId="2413" xr:uid="{00000000-0005-0000-0000-0000640A0000}"/>
    <cellStyle name="Comma 4 6 6 2" xfId="6699" xr:uid="{00000000-0005-0000-0000-0000650A0000}"/>
    <cellStyle name="Comma 4 6 6 2 2" xfId="15128" xr:uid="{EA886948-4224-49C4-8CB9-88321F839488}"/>
    <cellStyle name="Comma 4 6 6 2 3" xfId="23556" xr:uid="{5507EC90-B6B3-445B-BEA4-B63124BEB4C5}"/>
    <cellStyle name="Comma 4 6 6 3" xfId="10910" xr:uid="{8E773BBF-3BDC-4F70-BDB8-A15DC87F9D9B}"/>
    <cellStyle name="Comma 4 6 6 4" xfId="19339" xr:uid="{9242477C-FEA1-4874-9C19-1298B5370A48}"/>
    <cellStyle name="Comma 4 6 7" xfId="2709" xr:uid="{00000000-0005-0000-0000-0000660A0000}"/>
    <cellStyle name="Comma 4 6 8" xfId="2791" xr:uid="{00000000-0005-0000-0000-0000670A0000}"/>
    <cellStyle name="Comma 4 6 8 2" xfId="7016" xr:uid="{00000000-0005-0000-0000-0000680A0000}"/>
    <cellStyle name="Comma 4 6 8 2 2" xfId="15445" xr:uid="{2AF84F11-0080-423F-8520-660BF33DA8B1}"/>
    <cellStyle name="Comma 4 6 8 2 3" xfId="23873" xr:uid="{3576303B-EC74-48A4-A293-4CF1C2672DD4}"/>
    <cellStyle name="Comma 4 6 8 3" xfId="11227" xr:uid="{0B8A048B-6A1E-461D-8145-FA52AB189DCB}"/>
    <cellStyle name="Comma 4 6 8 4" xfId="19656" xr:uid="{07147270-993B-4D9A-A2ED-A39A48455AC9}"/>
    <cellStyle name="Comma 4 6 9" xfId="4633" xr:uid="{00000000-0005-0000-0000-0000690A0000}"/>
    <cellStyle name="Comma 4 6 9 2" xfId="13062" xr:uid="{1A71D4D9-330C-41C4-A8AF-0F4710B910A7}"/>
    <cellStyle name="Comma 4 6 9 3" xfId="21490" xr:uid="{AAB40C1D-451D-449A-968B-8CD2AC234E06}"/>
    <cellStyle name="Comma 4 7" xfId="160" xr:uid="{00000000-0005-0000-0000-00006A0A0000}"/>
    <cellStyle name="Comma 4 7 10" xfId="8845" xr:uid="{FBB9253C-A6EF-48BF-AF8F-D240EB935CD0}"/>
    <cellStyle name="Comma 4 7 11" xfId="17274" xr:uid="{28A7941F-81E0-4B89-8CE8-33BB784F235B}"/>
    <cellStyle name="Comma 4 7 2" xfId="698" xr:uid="{00000000-0005-0000-0000-00006B0A0000}"/>
    <cellStyle name="Comma 4 7 2 2" xfId="2969" xr:uid="{00000000-0005-0000-0000-00006C0A0000}"/>
    <cellStyle name="Comma 4 7 2 2 2" xfId="7193" xr:uid="{00000000-0005-0000-0000-00006D0A0000}"/>
    <cellStyle name="Comma 4 7 2 2 2 2" xfId="15622" xr:uid="{5CC25260-0B76-49EA-852C-85DCA5991524}"/>
    <cellStyle name="Comma 4 7 2 2 2 3" xfId="24050" xr:uid="{0E0FF034-BC4D-469A-A1E4-6C31E8F3FEFF}"/>
    <cellStyle name="Comma 4 7 2 2 3" xfId="11404" xr:uid="{A928B26F-FF0B-4E78-B798-F91E65FD37F7}"/>
    <cellStyle name="Comma 4 7 2 2 4" xfId="19833" xr:uid="{FD1DF21D-3F15-4A01-BE6E-C127CBC3F9CB}"/>
    <cellStyle name="Comma 4 7 2 3" xfId="5048" xr:uid="{00000000-0005-0000-0000-00006E0A0000}"/>
    <cellStyle name="Comma 4 7 2 3 2" xfId="13477" xr:uid="{2FF5E12E-6A50-4A30-963C-D5D4DCCB6FE1}"/>
    <cellStyle name="Comma 4 7 2 3 3" xfId="21905" xr:uid="{5B34FAE7-A67D-4CF7-AE41-DE3212E16E53}"/>
    <cellStyle name="Comma 4 7 2 4" xfId="9259" xr:uid="{EF793CBE-82AD-4C8B-9DF4-58D95955B997}"/>
    <cellStyle name="Comma 4 7 2 5" xfId="17688" xr:uid="{7E5E76EE-625B-44C8-97CB-6C78AF00B5B0}"/>
    <cellStyle name="Comma 4 7 3" xfId="1151" xr:uid="{00000000-0005-0000-0000-00006F0A0000}"/>
    <cellStyle name="Comma 4 7 3 2" xfId="3382" xr:uid="{00000000-0005-0000-0000-0000700A0000}"/>
    <cellStyle name="Comma 4 7 3 2 2" xfId="7606" xr:uid="{00000000-0005-0000-0000-0000710A0000}"/>
    <cellStyle name="Comma 4 7 3 2 2 2" xfId="16035" xr:uid="{74E18DDA-9FA9-41B4-8B31-281A07FBF9AF}"/>
    <cellStyle name="Comma 4 7 3 2 2 3" xfId="24463" xr:uid="{C559A106-053A-4BF9-8887-97D451BD9CC6}"/>
    <cellStyle name="Comma 4 7 3 2 3" xfId="11817" xr:uid="{9E005EF4-2158-41D4-82BF-CAB08A96BB78}"/>
    <cellStyle name="Comma 4 7 3 2 4" xfId="20246" xr:uid="{080D1906-F808-4E41-BE47-21BD5BD8F6D9}"/>
    <cellStyle name="Comma 4 7 3 3" xfId="5461" xr:uid="{00000000-0005-0000-0000-0000720A0000}"/>
    <cellStyle name="Comma 4 7 3 3 2" xfId="13890" xr:uid="{FCB0200F-568C-45D1-99F9-657B35D77613}"/>
    <cellStyle name="Comma 4 7 3 3 3" xfId="22318" xr:uid="{4535C33E-91B0-4D71-B059-66A0C655F141}"/>
    <cellStyle name="Comma 4 7 3 4" xfId="9672" xr:uid="{BD547C9A-D8A2-4885-B656-26C92B483C9C}"/>
    <cellStyle name="Comma 4 7 3 5" xfId="18101" xr:uid="{D9B635ED-ED84-4DCE-AC82-BBF118D84229}"/>
    <cellStyle name="Comma 4 7 4" xfId="1565" xr:uid="{00000000-0005-0000-0000-0000730A0000}"/>
    <cellStyle name="Comma 4 7 4 2" xfId="3795" xr:uid="{00000000-0005-0000-0000-0000740A0000}"/>
    <cellStyle name="Comma 4 7 4 2 2" xfId="8019" xr:uid="{00000000-0005-0000-0000-0000750A0000}"/>
    <cellStyle name="Comma 4 7 4 2 2 2" xfId="16448" xr:uid="{08F514C2-46A2-4DA7-B631-C09FAD564AD9}"/>
    <cellStyle name="Comma 4 7 4 2 2 3" xfId="24876" xr:uid="{CF8B4628-783F-4A3E-BBD7-3A0F632C1490}"/>
    <cellStyle name="Comma 4 7 4 2 3" xfId="12230" xr:uid="{0241AFB8-716E-48F3-9FB9-DFC75705161D}"/>
    <cellStyle name="Comma 4 7 4 2 4" xfId="20659" xr:uid="{6D2EB2A4-A055-454A-AB92-ED4DF7E90E6F}"/>
    <cellStyle name="Comma 4 7 4 3" xfId="5874" xr:uid="{00000000-0005-0000-0000-0000760A0000}"/>
    <cellStyle name="Comma 4 7 4 3 2" xfId="14303" xr:uid="{FBCD6A41-CDE1-4F34-9BB9-7BE99F3A4D30}"/>
    <cellStyle name="Comma 4 7 4 3 3" xfId="22731" xr:uid="{FB438EF3-F523-4B13-A505-4F0F64D5B95F}"/>
    <cellStyle name="Comma 4 7 4 4" xfId="10085" xr:uid="{C9991D82-B800-4DBC-9A62-46F7BCB2C760}"/>
    <cellStyle name="Comma 4 7 4 5" xfId="18514" xr:uid="{C09A5D90-D6D3-4619-BB81-B1DF5E50FEF3}"/>
    <cellStyle name="Comma 4 7 5" xfId="1979" xr:uid="{00000000-0005-0000-0000-0000770A0000}"/>
    <cellStyle name="Comma 4 7 5 2" xfId="4208" xr:uid="{00000000-0005-0000-0000-0000780A0000}"/>
    <cellStyle name="Comma 4 7 5 2 2" xfId="8432" xr:uid="{00000000-0005-0000-0000-0000790A0000}"/>
    <cellStyle name="Comma 4 7 5 2 2 2" xfId="16861" xr:uid="{F20D7828-EBD0-4B55-95DC-4B54E5BCC3DF}"/>
    <cellStyle name="Comma 4 7 5 2 2 3" xfId="25289" xr:uid="{C0EFFBF0-4561-45C0-8294-ED1C3C24054C}"/>
    <cellStyle name="Comma 4 7 5 2 3" xfId="12643" xr:uid="{E908A477-89D6-4B6E-93FE-6F2CCDE634C0}"/>
    <cellStyle name="Comma 4 7 5 2 4" xfId="21072" xr:uid="{4FA28033-19F1-4105-908E-0CD572FB73EF}"/>
    <cellStyle name="Comma 4 7 5 3" xfId="6287" xr:uid="{00000000-0005-0000-0000-00007A0A0000}"/>
    <cellStyle name="Comma 4 7 5 3 2" xfId="14716" xr:uid="{CC5F2BDF-8653-41C9-B289-05DC887B5A1D}"/>
    <cellStyle name="Comma 4 7 5 3 3" xfId="23144" xr:uid="{77CBE7E9-811C-45A8-89E4-6280AF1F1DE0}"/>
    <cellStyle name="Comma 4 7 5 4" xfId="10498" xr:uid="{9ACB1726-D84A-4A59-B27B-C924A943C42C}"/>
    <cellStyle name="Comma 4 7 5 5" xfId="18927" xr:uid="{F7434DEE-EF64-405B-B3AF-160AFA2D3A96}"/>
    <cellStyle name="Comma 4 7 6" xfId="2414" xr:uid="{00000000-0005-0000-0000-00007B0A0000}"/>
    <cellStyle name="Comma 4 7 6 2" xfId="6700" xr:uid="{00000000-0005-0000-0000-00007C0A0000}"/>
    <cellStyle name="Comma 4 7 6 2 2" xfId="15129" xr:uid="{E74FC7DB-0BBC-4A20-8C8B-3430F900BCE1}"/>
    <cellStyle name="Comma 4 7 6 2 3" xfId="23557" xr:uid="{0A4C9FE1-5DBC-4892-9EF5-9549C21BDF13}"/>
    <cellStyle name="Comma 4 7 6 3" xfId="10911" xr:uid="{1A14E420-ECCA-4B55-B0E0-D2675ADD2E7D}"/>
    <cellStyle name="Comma 4 7 6 4" xfId="19340" xr:uid="{58F47ED1-A266-4F8A-B29A-EDEA84182A82}"/>
    <cellStyle name="Comma 4 7 7" xfId="2710" xr:uid="{00000000-0005-0000-0000-00007D0A0000}"/>
    <cellStyle name="Comma 4 7 8" xfId="2792" xr:uid="{00000000-0005-0000-0000-00007E0A0000}"/>
    <cellStyle name="Comma 4 7 8 2" xfId="7017" xr:uid="{00000000-0005-0000-0000-00007F0A0000}"/>
    <cellStyle name="Comma 4 7 8 2 2" xfId="15446" xr:uid="{E92637CB-6DAC-4B1D-B51B-AA6AB17D8AD8}"/>
    <cellStyle name="Comma 4 7 8 2 3" xfId="23874" xr:uid="{F4E05598-646D-4E6F-9CC9-1370DCD81F52}"/>
    <cellStyle name="Comma 4 7 8 3" xfId="11228" xr:uid="{A9F41DC4-59D9-4ED7-BD72-ECE5B03CEFA1}"/>
    <cellStyle name="Comma 4 7 8 4" xfId="19657" xr:uid="{F8551632-6276-407B-AA73-7DBC24A781BA}"/>
    <cellStyle name="Comma 4 7 9" xfId="4634" xr:uid="{00000000-0005-0000-0000-0000800A0000}"/>
    <cellStyle name="Comma 4 7 9 2" xfId="13063" xr:uid="{862AC57E-29AC-4A62-9598-BC1FDD164B1A}"/>
    <cellStyle name="Comma 4 7 9 3" xfId="21491" xr:uid="{E87D3B48-AF6A-48E7-9ABD-B7CF1D4A869B}"/>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1" xr:uid="{80E68544-F976-4FBF-946F-602C622EC1ED}"/>
    <cellStyle name="Comma 7 3" xfId="21359" xr:uid="{DD9B7511-9291-4EDA-9735-CA66F8CCDA66}"/>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12934" xr:uid="{23030412-1701-4381-806E-C73020C5DB1E}"/>
    <cellStyle name="Currency 14 3" xfId="21362" xr:uid="{3FD5A009-D5BB-44F4-92A9-995B616596AE}"/>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7" xr:uid="{9710D568-5679-4357-B11B-D4CDECF573A5}"/>
    <cellStyle name="Currency 3 2 2 10 2 3" xfId="23875" xr:uid="{916F9A7E-25BA-434D-AE5E-0D85BCFE65F8}"/>
    <cellStyle name="Currency 3 2 2 10 3" xfId="11229" xr:uid="{ECBB17C9-2647-4CD8-99E6-D3BC472A9A5C}"/>
    <cellStyle name="Currency 3 2 2 10 4" xfId="19658" xr:uid="{3AE16796-2F73-4B2A-A7AE-1CA0A08FEE55}"/>
    <cellStyle name="Currency 3 2 2 11" xfId="4635" xr:uid="{00000000-0005-0000-0000-0000A50A0000}"/>
    <cellStyle name="Currency 3 2 2 11 2" xfId="13064" xr:uid="{2F427398-BD90-414B-8C2C-86E5CA330DDF}"/>
    <cellStyle name="Currency 3 2 2 11 3" xfId="21492" xr:uid="{D6567B0D-728E-4F83-B060-445C88129FC1}"/>
    <cellStyle name="Currency 3 2 2 12" xfId="8846" xr:uid="{0FCDB007-85E6-40ED-8A95-60D2C8290C76}"/>
    <cellStyle name="Currency 3 2 2 13" xfId="17275" xr:uid="{F99800B2-E592-4213-A011-63E8361498CD}"/>
    <cellStyle name="Currency 3 2 2 2" xfId="179" xr:uid="{00000000-0005-0000-0000-0000A60A0000}"/>
    <cellStyle name="Currency 3 2 2 2 10" xfId="4636" xr:uid="{00000000-0005-0000-0000-0000A70A0000}"/>
    <cellStyle name="Currency 3 2 2 2 10 2" xfId="13065" xr:uid="{E3AF123A-2A63-4C92-B697-132A37B9EA3A}"/>
    <cellStyle name="Currency 3 2 2 2 10 3" xfId="21493" xr:uid="{1DB529C1-1C9C-42BD-86C5-6A2A1A9D7388}"/>
    <cellStyle name="Currency 3 2 2 2 11" xfId="8847" xr:uid="{C1876D38-F688-48BB-9D63-9421AEBCA782}"/>
    <cellStyle name="Currency 3 2 2 2 12" xfId="17276" xr:uid="{DE27737B-2363-46FD-8582-40F8F086620B}"/>
    <cellStyle name="Currency 3 2 2 2 2" xfId="180" xr:uid="{00000000-0005-0000-0000-0000A80A0000}"/>
    <cellStyle name="Currency 3 2 2 2 2 10" xfId="8848" xr:uid="{2B112333-1C09-4231-8B4C-A54C5E4FAFB3}"/>
    <cellStyle name="Currency 3 2 2 2 2 11" xfId="17277" xr:uid="{68C2D25C-13BD-47A7-909C-BACE2C9D68E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25" xr:uid="{6116E2D8-23F3-44DA-9A44-DDEFA6689BCF}"/>
    <cellStyle name="Currency 3 2 2 2 2 2 2 2 3" xfId="24053" xr:uid="{AC93BA80-8C6C-46E3-9DA3-1C6CCE7C64E0}"/>
    <cellStyle name="Currency 3 2 2 2 2 2 2 3" xfId="11407" xr:uid="{56643EB0-08CB-4EE5-9DFC-A41B87D0E9DB}"/>
    <cellStyle name="Currency 3 2 2 2 2 2 2 4" xfId="19836" xr:uid="{AD957641-7D8C-44B3-B8BF-3B9C959D2A63}"/>
    <cellStyle name="Currency 3 2 2 2 2 2 3" xfId="5051" xr:uid="{00000000-0005-0000-0000-0000AC0A0000}"/>
    <cellStyle name="Currency 3 2 2 2 2 2 3 2" xfId="13480" xr:uid="{F0A0979F-1DB7-47D4-B839-CDDEB2840557}"/>
    <cellStyle name="Currency 3 2 2 2 2 2 3 3" xfId="21908" xr:uid="{282D6D8E-E8CB-454B-8235-5B0BF9DACBB5}"/>
    <cellStyle name="Currency 3 2 2 2 2 2 4" xfId="9262" xr:uid="{59F0C95C-ED9C-4EDC-AA5B-4B38B0A81E6C}"/>
    <cellStyle name="Currency 3 2 2 2 2 2 5" xfId="17691" xr:uid="{D78FBDD5-FE48-4610-AE52-5747CE4EC05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8" xr:uid="{D85A1B54-E7A4-402D-BAEC-BE3414EAC151}"/>
    <cellStyle name="Currency 3 2 2 2 2 3 2 2 3" xfId="24466" xr:uid="{1C620796-09F5-4083-AAB8-866934A91D8E}"/>
    <cellStyle name="Currency 3 2 2 2 2 3 2 3" xfId="11820" xr:uid="{6AD43536-A54D-4E20-A966-6B109F845A27}"/>
    <cellStyle name="Currency 3 2 2 2 2 3 2 4" xfId="20249" xr:uid="{F421B5E9-925B-4828-9339-21DB66EAA4C7}"/>
    <cellStyle name="Currency 3 2 2 2 2 3 3" xfId="5464" xr:uid="{00000000-0005-0000-0000-0000B00A0000}"/>
    <cellStyle name="Currency 3 2 2 2 2 3 3 2" xfId="13893" xr:uid="{8AD43EEE-247E-4359-B7CD-498EE0FC2BC3}"/>
    <cellStyle name="Currency 3 2 2 2 2 3 3 3" xfId="22321" xr:uid="{A674198A-C6E0-4C26-AF0D-F30A0B9465BC}"/>
    <cellStyle name="Currency 3 2 2 2 2 3 4" xfId="9675" xr:uid="{610BE36F-5997-420D-B36C-60A9FC278FCC}"/>
    <cellStyle name="Currency 3 2 2 2 2 3 5" xfId="18104" xr:uid="{B24F4343-B59F-4BB3-B773-8816CAFB9D11}"/>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51" xr:uid="{69B84490-4710-4F12-9DC7-9C252E3E2496}"/>
    <cellStyle name="Currency 3 2 2 2 2 4 2 2 3" xfId="24879" xr:uid="{CC7DC283-E88B-4709-90B2-B463A8FD0610}"/>
    <cellStyle name="Currency 3 2 2 2 2 4 2 3" xfId="12233" xr:uid="{CC6B9B9D-8B8E-4761-BE2C-2BF1A1254FC8}"/>
    <cellStyle name="Currency 3 2 2 2 2 4 2 4" xfId="20662" xr:uid="{91CA8419-4203-40B2-B2B4-EA0F79B902B2}"/>
    <cellStyle name="Currency 3 2 2 2 2 4 3" xfId="5877" xr:uid="{00000000-0005-0000-0000-0000B40A0000}"/>
    <cellStyle name="Currency 3 2 2 2 2 4 3 2" xfId="14306" xr:uid="{84471BD0-9D45-47D8-9152-2DA2955E05F8}"/>
    <cellStyle name="Currency 3 2 2 2 2 4 3 3" xfId="22734" xr:uid="{920AF33F-0F34-49AB-B083-EA79837F9622}"/>
    <cellStyle name="Currency 3 2 2 2 2 4 4" xfId="10088" xr:uid="{56EB71CF-E49B-44CD-B2C9-013FB7561CD1}"/>
    <cellStyle name="Currency 3 2 2 2 2 4 5" xfId="18517" xr:uid="{C1026B6E-C08C-4E5A-8AA6-7B70F3043CEC}"/>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64" xr:uid="{949E6BFF-1599-465E-B684-2B32227AB65D}"/>
    <cellStyle name="Currency 3 2 2 2 2 5 2 2 3" xfId="25292" xr:uid="{988A732C-B8B7-46DE-9C78-56DF34A13B54}"/>
    <cellStyle name="Currency 3 2 2 2 2 5 2 3" xfId="12646" xr:uid="{2889EC99-C44E-427F-A59F-91A18D25F12C}"/>
    <cellStyle name="Currency 3 2 2 2 2 5 2 4" xfId="21075" xr:uid="{C75F29A2-DA1B-4033-985C-CCCC474D1C10}"/>
    <cellStyle name="Currency 3 2 2 2 2 5 3" xfId="6290" xr:uid="{00000000-0005-0000-0000-0000B80A0000}"/>
    <cellStyle name="Currency 3 2 2 2 2 5 3 2" xfId="14719" xr:uid="{9B1E19EA-8E69-4BCA-B6D7-7C9323B1F985}"/>
    <cellStyle name="Currency 3 2 2 2 2 5 3 3" xfId="23147" xr:uid="{F1E59E31-7FAE-4821-8283-531B3E009AE0}"/>
    <cellStyle name="Currency 3 2 2 2 2 5 4" xfId="10501" xr:uid="{AF4A8A24-0B8D-4CB5-8FA6-C49A0D0673D8}"/>
    <cellStyle name="Currency 3 2 2 2 2 5 5" xfId="18930" xr:uid="{346EE43E-2857-4527-B91E-21E906EEEB1A}"/>
    <cellStyle name="Currency 3 2 2 2 2 6" xfId="2417" xr:uid="{00000000-0005-0000-0000-0000B90A0000}"/>
    <cellStyle name="Currency 3 2 2 2 2 6 2" xfId="6703" xr:uid="{00000000-0005-0000-0000-0000BA0A0000}"/>
    <cellStyle name="Currency 3 2 2 2 2 6 2 2" xfId="15132" xr:uid="{1047E298-7EA5-4377-8992-9773665EDE6A}"/>
    <cellStyle name="Currency 3 2 2 2 2 6 2 3" xfId="23560" xr:uid="{79BA1B59-6014-4C94-B8E7-598636349C3C}"/>
    <cellStyle name="Currency 3 2 2 2 2 6 3" xfId="10914" xr:uid="{9F61D761-4293-4C6F-8DC7-AF325448A929}"/>
    <cellStyle name="Currency 3 2 2 2 2 6 4" xfId="19343" xr:uid="{96D15956-92A8-40BC-A612-1F51E6F789F9}"/>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9" xr:uid="{5A0D96CB-AEAE-458E-AEF4-227814186CEB}"/>
    <cellStyle name="Currency 3 2 2 2 2 8 2 3" xfId="23877" xr:uid="{BDC98940-9BCA-4441-A948-608BAEBBB83E}"/>
    <cellStyle name="Currency 3 2 2 2 2 8 3" xfId="11231" xr:uid="{2BF3AAF2-6F54-471E-9203-49F83825D99C}"/>
    <cellStyle name="Currency 3 2 2 2 2 8 4" xfId="19660" xr:uid="{4AA10015-0D7C-4E3E-868D-BA51F4DF2B9F}"/>
    <cellStyle name="Currency 3 2 2 2 2 9" xfId="4637" xr:uid="{00000000-0005-0000-0000-0000BE0A0000}"/>
    <cellStyle name="Currency 3 2 2 2 2 9 2" xfId="13066" xr:uid="{948DD186-1867-450F-AE63-7B531116DFDF}"/>
    <cellStyle name="Currency 3 2 2 2 2 9 3" xfId="21494" xr:uid="{8DB62B59-B07B-4712-98C3-D33067C8AF44}"/>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24" xr:uid="{97338D2C-2FD3-4C31-8814-1231B071829E}"/>
    <cellStyle name="Currency 3 2 2 2 3 2 2 3" xfId="24052" xr:uid="{970AD639-65A8-4035-A8D9-726BDE4A31CC}"/>
    <cellStyle name="Currency 3 2 2 2 3 2 3" xfId="11406" xr:uid="{D8316CD1-874A-41BE-BD26-9ADEC6E86314}"/>
    <cellStyle name="Currency 3 2 2 2 3 2 4" xfId="19835" xr:uid="{5BAD5386-065B-4B4F-BDE7-D833C4448868}"/>
    <cellStyle name="Currency 3 2 2 2 3 3" xfId="5050" xr:uid="{00000000-0005-0000-0000-0000C20A0000}"/>
    <cellStyle name="Currency 3 2 2 2 3 3 2" xfId="13479" xr:uid="{12D99F53-7186-4349-8500-868469EF03AE}"/>
    <cellStyle name="Currency 3 2 2 2 3 3 3" xfId="21907" xr:uid="{151922B9-4183-43B9-A037-5881F3667495}"/>
    <cellStyle name="Currency 3 2 2 2 3 4" xfId="9261" xr:uid="{4EEE9AFD-5701-4CD1-999C-38120102D549}"/>
    <cellStyle name="Currency 3 2 2 2 3 5" xfId="17690" xr:uid="{D0E259BD-0363-4F3C-B03D-5299220D7EE7}"/>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7" xr:uid="{D08072BB-8C1B-40C0-AEA0-EE263BF0E7E2}"/>
    <cellStyle name="Currency 3 2 2 2 4 2 2 3" xfId="24465" xr:uid="{B4F88320-2A87-448C-A237-F275E4C3B901}"/>
    <cellStyle name="Currency 3 2 2 2 4 2 3" xfId="11819" xr:uid="{ADD72F0E-E561-46D7-A86D-A4D4C8897839}"/>
    <cellStyle name="Currency 3 2 2 2 4 2 4" xfId="20248" xr:uid="{743348E3-437D-4553-B035-F6E3947C8B1F}"/>
    <cellStyle name="Currency 3 2 2 2 4 3" xfId="5463" xr:uid="{00000000-0005-0000-0000-0000C60A0000}"/>
    <cellStyle name="Currency 3 2 2 2 4 3 2" xfId="13892" xr:uid="{779074D8-AF9C-48C5-8197-365A16D415C7}"/>
    <cellStyle name="Currency 3 2 2 2 4 3 3" xfId="22320" xr:uid="{BD343BEA-661B-4FA4-B8B1-86FF7705BE7F}"/>
    <cellStyle name="Currency 3 2 2 2 4 4" xfId="9674" xr:uid="{143EB548-27EC-4339-8BCB-B199C4DAB2B2}"/>
    <cellStyle name="Currency 3 2 2 2 4 5" xfId="18103" xr:uid="{FA83B9E1-BD03-4A0A-A8A9-C9282CEE590A}"/>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50" xr:uid="{1004676A-8098-4105-944D-72E46FED0688}"/>
    <cellStyle name="Currency 3 2 2 2 5 2 2 3" xfId="24878" xr:uid="{94443C5E-24E1-4261-82C7-D1EB49351DDE}"/>
    <cellStyle name="Currency 3 2 2 2 5 2 3" xfId="12232" xr:uid="{4281E1D3-DD3A-4D63-9E1C-4936E6917DE5}"/>
    <cellStyle name="Currency 3 2 2 2 5 2 4" xfId="20661" xr:uid="{BD0AD6E0-2B8F-4F8E-8FB0-E65CF917F3C2}"/>
    <cellStyle name="Currency 3 2 2 2 5 3" xfId="5876" xr:uid="{00000000-0005-0000-0000-0000CA0A0000}"/>
    <cellStyle name="Currency 3 2 2 2 5 3 2" xfId="14305" xr:uid="{B97B98AE-4CB6-45EF-810D-2C76F4FCBD4D}"/>
    <cellStyle name="Currency 3 2 2 2 5 3 3" xfId="22733" xr:uid="{7495B456-73BB-47B0-960A-CD86BB90EF09}"/>
    <cellStyle name="Currency 3 2 2 2 5 4" xfId="10087" xr:uid="{16732976-A755-40BE-9878-7D279DE8EE63}"/>
    <cellStyle name="Currency 3 2 2 2 5 5" xfId="18516" xr:uid="{AF264B57-BFC3-48B8-B5FC-C532DCC2E32C}"/>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63" xr:uid="{76400A14-0CC3-4A2D-B6CE-7D747A2B3506}"/>
    <cellStyle name="Currency 3 2 2 2 6 2 2 3" xfId="25291" xr:uid="{EC756F97-DCA9-4E06-9ED7-201DEB79F37E}"/>
    <cellStyle name="Currency 3 2 2 2 6 2 3" xfId="12645" xr:uid="{71941841-B0A4-4AA2-956A-71E0AF722891}"/>
    <cellStyle name="Currency 3 2 2 2 6 2 4" xfId="21074" xr:uid="{DFE19299-92F9-43DA-8BAD-FE5662881E3C}"/>
    <cellStyle name="Currency 3 2 2 2 6 3" xfId="6289" xr:uid="{00000000-0005-0000-0000-0000CE0A0000}"/>
    <cellStyle name="Currency 3 2 2 2 6 3 2" xfId="14718" xr:uid="{219EB57A-D612-4D86-A24D-12E2BBCA4168}"/>
    <cellStyle name="Currency 3 2 2 2 6 3 3" xfId="23146" xr:uid="{58D5E2FB-BA17-44E2-B5CB-B1F54CF9CD6D}"/>
    <cellStyle name="Currency 3 2 2 2 6 4" xfId="10500" xr:uid="{6F30119F-16DF-4832-AE03-DC0020516FC9}"/>
    <cellStyle name="Currency 3 2 2 2 6 5" xfId="18929" xr:uid="{47C80E74-8EF8-4DD8-9FB9-D3609634C2F5}"/>
    <cellStyle name="Currency 3 2 2 2 7" xfId="2416" xr:uid="{00000000-0005-0000-0000-0000CF0A0000}"/>
    <cellStyle name="Currency 3 2 2 2 7 2" xfId="6702" xr:uid="{00000000-0005-0000-0000-0000D00A0000}"/>
    <cellStyle name="Currency 3 2 2 2 7 2 2" xfId="15131" xr:uid="{BEE84B07-AAC2-4933-B5D7-E0B687F2D33B}"/>
    <cellStyle name="Currency 3 2 2 2 7 2 3" xfId="23559" xr:uid="{244F1910-5437-4BA1-9F7E-5C11C12264AA}"/>
    <cellStyle name="Currency 3 2 2 2 7 3" xfId="10913" xr:uid="{C99B9C9C-775F-492E-86AB-DE17E2802C60}"/>
    <cellStyle name="Currency 3 2 2 2 7 4" xfId="19342" xr:uid="{9D481567-F687-489A-9412-C165F7D2C8C6}"/>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8" xr:uid="{50970BED-7BB0-4716-AE14-5FC80F8C50F5}"/>
    <cellStyle name="Currency 3 2 2 2 9 2 3" xfId="23876" xr:uid="{529D5EF2-998E-41EB-861E-B31BC108FEE6}"/>
    <cellStyle name="Currency 3 2 2 2 9 3" xfId="11230" xr:uid="{B22BAF6B-2445-4AB6-8F5B-FC79B169C869}"/>
    <cellStyle name="Currency 3 2 2 2 9 4" xfId="19659" xr:uid="{4E01A6B7-11FA-4AD3-9502-8827CEF5DE51}"/>
    <cellStyle name="Currency 3 2 2 3" xfId="181" xr:uid="{00000000-0005-0000-0000-0000D40A0000}"/>
    <cellStyle name="Currency 3 2 2 3 10" xfId="8849" xr:uid="{28512E6D-7FD2-4650-99AF-84AEF4CC41BC}"/>
    <cellStyle name="Currency 3 2 2 3 11" xfId="17278" xr:uid="{73B507FD-AECB-49B8-8D56-83114B66611A}"/>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26" xr:uid="{F2B72315-B314-4C4F-B8FA-D0B226685C70}"/>
    <cellStyle name="Currency 3 2 2 3 2 2 2 3" xfId="24054" xr:uid="{D78A94C7-12CA-4A24-9899-BABB66FAE5B0}"/>
    <cellStyle name="Currency 3 2 2 3 2 2 3" xfId="11408" xr:uid="{B2E8D342-9440-44FE-AAF5-3438DE4D0550}"/>
    <cellStyle name="Currency 3 2 2 3 2 2 4" xfId="19837" xr:uid="{7D8ED612-66F5-4226-90DA-2E8E393C9D6A}"/>
    <cellStyle name="Currency 3 2 2 3 2 3" xfId="5052" xr:uid="{00000000-0005-0000-0000-0000D80A0000}"/>
    <cellStyle name="Currency 3 2 2 3 2 3 2" xfId="13481" xr:uid="{F494FCDF-CF83-4E90-AF1E-CEAC623AC16E}"/>
    <cellStyle name="Currency 3 2 2 3 2 3 3" xfId="21909" xr:uid="{0AD86A75-93FC-48F8-8CE2-68900A53EEF5}"/>
    <cellStyle name="Currency 3 2 2 3 2 4" xfId="9263" xr:uid="{EB70A88C-B3EB-4540-965E-8D921162E767}"/>
    <cellStyle name="Currency 3 2 2 3 2 5" xfId="17692" xr:uid="{2496B9AF-FC0C-49AF-B72D-73FD9FC0F9B3}"/>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9" xr:uid="{B83700EC-4F4D-40BB-B58F-1F00CE2F190C}"/>
    <cellStyle name="Currency 3 2 2 3 3 2 2 3" xfId="24467" xr:uid="{5A83FC06-80CB-4A18-98C9-8D2E3CB9740A}"/>
    <cellStyle name="Currency 3 2 2 3 3 2 3" xfId="11821" xr:uid="{74BC6DA1-A0B0-4DE4-8276-E9C5B2A2BF71}"/>
    <cellStyle name="Currency 3 2 2 3 3 2 4" xfId="20250" xr:uid="{14DCAAB6-02BB-4C7D-B17F-4E8FB479D051}"/>
    <cellStyle name="Currency 3 2 2 3 3 3" xfId="5465" xr:uid="{00000000-0005-0000-0000-0000DC0A0000}"/>
    <cellStyle name="Currency 3 2 2 3 3 3 2" xfId="13894" xr:uid="{913C5F12-9435-4082-9C35-4A0CFB2C1577}"/>
    <cellStyle name="Currency 3 2 2 3 3 3 3" xfId="22322" xr:uid="{32B62A1F-D7AF-498D-B842-33EA28C51AAE}"/>
    <cellStyle name="Currency 3 2 2 3 3 4" xfId="9676" xr:uid="{ED1E640E-E339-46DC-8B6A-A1DC4FBA344D}"/>
    <cellStyle name="Currency 3 2 2 3 3 5" xfId="18105" xr:uid="{07009BCA-BDC4-4836-A5FD-F3A6C6373759}"/>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52" xr:uid="{1E8D71F8-A77A-4F21-A3DE-9F03349AE65D}"/>
    <cellStyle name="Currency 3 2 2 3 4 2 2 3" xfId="24880" xr:uid="{A06E91B2-EACF-4579-B23A-7E5A07BFEEFE}"/>
    <cellStyle name="Currency 3 2 2 3 4 2 3" xfId="12234" xr:uid="{76A77CC2-F2D4-4D90-B2F7-B69815AD02D5}"/>
    <cellStyle name="Currency 3 2 2 3 4 2 4" xfId="20663" xr:uid="{495D9EB4-D664-4552-978B-2D464FA21B1F}"/>
    <cellStyle name="Currency 3 2 2 3 4 3" xfId="5878" xr:uid="{00000000-0005-0000-0000-0000E00A0000}"/>
    <cellStyle name="Currency 3 2 2 3 4 3 2" xfId="14307" xr:uid="{95CC73AD-C248-49A2-A3F0-C9ADBEF48417}"/>
    <cellStyle name="Currency 3 2 2 3 4 3 3" xfId="22735" xr:uid="{3CE33679-469F-4FB0-90FE-A61624B1D234}"/>
    <cellStyle name="Currency 3 2 2 3 4 4" xfId="10089" xr:uid="{63F7A82B-BB56-4F1A-893C-3D9F747E22C2}"/>
    <cellStyle name="Currency 3 2 2 3 4 5" xfId="18518" xr:uid="{1A27AA26-8056-499D-A51A-A46CC4C04D7A}"/>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65" xr:uid="{12C7FB25-D44F-4F58-A8F9-955795E8BA73}"/>
    <cellStyle name="Currency 3 2 2 3 5 2 2 3" xfId="25293" xr:uid="{16596455-AC0A-4024-B983-CF4E226AFD5D}"/>
    <cellStyle name="Currency 3 2 2 3 5 2 3" xfId="12647" xr:uid="{2E44D611-7C23-4C31-9ADC-999650966652}"/>
    <cellStyle name="Currency 3 2 2 3 5 2 4" xfId="21076" xr:uid="{857A2325-1634-43ED-841D-54672A5E7BF4}"/>
    <cellStyle name="Currency 3 2 2 3 5 3" xfId="6291" xr:uid="{00000000-0005-0000-0000-0000E40A0000}"/>
    <cellStyle name="Currency 3 2 2 3 5 3 2" xfId="14720" xr:uid="{59FE3D28-AD0D-4F1A-BDFF-B2B79435E8DF}"/>
    <cellStyle name="Currency 3 2 2 3 5 3 3" xfId="23148" xr:uid="{1896B2B9-FFEA-43D3-85DF-286F7A8F880A}"/>
    <cellStyle name="Currency 3 2 2 3 5 4" xfId="10502" xr:uid="{0FC8BD3F-2082-4EBE-8B7D-4B8401EDA6B0}"/>
    <cellStyle name="Currency 3 2 2 3 5 5" xfId="18931" xr:uid="{945E71CB-98B7-421C-A244-BE899DEC0128}"/>
    <cellStyle name="Currency 3 2 2 3 6" xfId="2418" xr:uid="{00000000-0005-0000-0000-0000E50A0000}"/>
    <cellStyle name="Currency 3 2 2 3 6 2" xfId="6704" xr:uid="{00000000-0005-0000-0000-0000E60A0000}"/>
    <cellStyle name="Currency 3 2 2 3 6 2 2" xfId="15133" xr:uid="{087577A0-758A-46EB-92AA-22147FEB0DC7}"/>
    <cellStyle name="Currency 3 2 2 3 6 2 3" xfId="23561" xr:uid="{D2AB7315-9370-4BD4-8601-CE3813D5F90C}"/>
    <cellStyle name="Currency 3 2 2 3 6 3" xfId="10915" xr:uid="{A27B5E2E-C693-4563-9C68-1A94B4CE9C7C}"/>
    <cellStyle name="Currency 3 2 2 3 6 4" xfId="19344" xr:uid="{10030C6F-4962-4B7B-9A67-3C082E68602E}"/>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50" xr:uid="{AF4CB8E1-D7D3-4B18-B73B-E3E8E62C4F22}"/>
    <cellStyle name="Currency 3 2 2 3 8 2 3" xfId="23878" xr:uid="{983DC134-8419-40AB-B4E3-1A71A1FF66F5}"/>
    <cellStyle name="Currency 3 2 2 3 8 3" xfId="11232" xr:uid="{E70658D6-7A58-416E-9638-F325FDA3110C}"/>
    <cellStyle name="Currency 3 2 2 3 8 4" xfId="19661" xr:uid="{EF1F9940-BE53-46A1-A531-491CC8345D5D}"/>
    <cellStyle name="Currency 3 2 2 3 9" xfId="4638" xr:uid="{00000000-0005-0000-0000-0000EA0A0000}"/>
    <cellStyle name="Currency 3 2 2 3 9 2" xfId="13067" xr:uid="{F3B4EF33-44EB-49D6-9396-2A28A7BA251B}"/>
    <cellStyle name="Currency 3 2 2 3 9 3" xfId="21495" xr:uid="{FA811A46-CC30-44FA-A088-DEA1221F1C17}"/>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23" xr:uid="{12408D55-0D71-4B02-9273-901E462200B4}"/>
    <cellStyle name="Currency 3 2 2 4 2 2 3" xfId="24051" xr:uid="{129B4903-7892-47BB-AB11-AA2E1F9D9038}"/>
    <cellStyle name="Currency 3 2 2 4 2 3" xfId="11405" xr:uid="{60D43E36-2EC0-42A5-A12A-62CABBCB67EC}"/>
    <cellStyle name="Currency 3 2 2 4 2 4" xfId="19834" xr:uid="{0CB34457-E87B-4E5B-8978-54C128B8E100}"/>
    <cellStyle name="Currency 3 2 2 4 3" xfId="5049" xr:uid="{00000000-0005-0000-0000-0000EE0A0000}"/>
    <cellStyle name="Currency 3 2 2 4 3 2" xfId="13478" xr:uid="{A203056E-7EBA-4A6C-88BC-6CD64253EDBC}"/>
    <cellStyle name="Currency 3 2 2 4 3 3" xfId="21906" xr:uid="{6E4A7722-2A90-4017-AD51-E009132B43B3}"/>
    <cellStyle name="Currency 3 2 2 4 4" xfId="9260" xr:uid="{8776576E-401A-4164-8DBF-0C71B7053EAD}"/>
    <cellStyle name="Currency 3 2 2 4 5" xfId="17689" xr:uid="{665070F2-C9C9-4F76-8F7A-B15A8739AF7D}"/>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36" xr:uid="{8553C97E-AA1A-4B24-8392-B2A92823A453}"/>
    <cellStyle name="Currency 3 2 2 5 2 2 3" xfId="24464" xr:uid="{4B1F3B4F-C9C0-433E-A171-F6DDB0F2DE21}"/>
    <cellStyle name="Currency 3 2 2 5 2 3" xfId="11818" xr:uid="{9662A810-4509-413A-8462-64CD18DEBF25}"/>
    <cellStyle name="Currency 3 2 2 5 2 4" xfId="20247" xr:uid="{604AD75B-846A-4702-8C07-919515B30831}"/>
    <cellStyle name="Currency 3 2 2 5 3" xfId="5462" xr:uid="{00000000-0005-0000-0000-0000F20A0000}"/>
    <cellStyle name="Currency 3 2 2 5 3 2" xfId="13891" xr:uid="{1AAD5C85-091A-4E9D-AE46-C004E10C9782}"/>
    <cellStyle name="Currency 3 2 2 5 3 3" xfId="22319" xr:uid="{91A97495-02D9-4EAD-8721-A0113801F34F}"/>
    <cellStyle name="Currency 3 2 2 5 4" xfId="9673" xr:uid="{64C3ADE9-56B6-4021-A625-93A31C599547}"/>
    <cellStyle name="Currency 3 2 2 5 5" xfId="18102" xr:uid="{28840D0B-43C6-45B7-852B-4433791656CA}"/>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9" xr:uid="{E3A7EAC5-96A5-4046-9C7B-2530B210E86C}"/>
    <cellStyle name="Currency 3 2 2 6 2 2 3" xfId="24877" xr:uid="{2A8FF2E3-F792-4312-A335-287B65488E00}"/>
    <cellStyle name="Currency 3 2 2 6 2 3" xfId="12231" xr:uid="{57E29803-82C6-4948-9DF7-BDD4B6A55746}"/>
    <cellStyle name="Currency 3 2 2 6 2 4" xfId="20660" xr:uid="{2CB3EAFE-F37D-408C-9834-0AA0169705F9}"/>
    <cellStyle name="Currency 3 2 2 6 3" xfId="5875" xr:uid="{00000000-0005-0000-0000-0000F60A0000}"/>
    <cellStyle name="Currency 3 2 2 6 3 2" xfId="14304" xr:uid="{00D60430-6294-4BD8-9FA4-944563BCF679}"/>
    <cellStyle name="Currency 3 2 2 6 3 3" xfId="22732" xr:uid="{DAEA022D-1E9E-4626-A3A7-7EBA13E762B6}"/>
    <cellStyle name="Currency 3 2 2 6 4" xfId="10086" xr:uid="{6FCD8E3A-F6DC-4D26-8DB0-BE01ED696624}"/>
    <cellStyle name="Currency 3 2 2 6 5" xfId="18515" xr:uid="{A1D66501-7F4C-4246-917B-05D9497E8CCC}"/>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62" xr:uid="{7CA54829-DA11-41A5-98E7-28CB4253CA7B}"/>
    <cellStyle name="Currency 3 2 2 7 2 2 3" xfId="25290" xr:uid="{1AF3BA94-7CC4-401E-883D-3B9E51BCE270}"/>
    <cellStyle name="Currency 3 2 2 7 2 3" xfId="12644" xr:uid="{49C35980-16E5-4B44-9AD0-4A6AF275CED5}"/>
    <cellStyle name="Currency 3 2 2 7 2 4" xfId="21073" xr:uid="{F2D9A11D-BF0E-4F7E-9858-F06C56518C23}"/>
    <cellStyle name="Currency 3 2 2 7 3" xfId="6288" xr:uid="{00000000-0005-0000-0000-0000FA0A0000}"/>
    <cellStyle name="Currency 3 2 2 7 3 2" xfId="14717" xr:uid="{DA6A1537-CFFB-4B36-AFD0-1B6996FBEC3C}"/>
    <cellStyle name="Currency 3 2 2 7 3 3" xfId="23145" xr:uid="{7EC47D97-DDC0-42F3-B7B4-3FFCA915E1F3}"/>
    <cellStyle name="Currency 3 2 2 7 4" xfId="10499" xr:uid="{C91F6D9F-BCBC-425B-AAA9-37AF3A3CAC77}"/>
    <cellStyle name="Currency 3 2 2 7 5" xfId="18928" xr:uid="{59E603CA-1464-40AE-A406-67DAF08C3990}"/>
    <cellStyle name="Currency 3 2 2 8" xfId="2415" xr:uid="{00000000-0005-0000-0000-0000FB0A0000}"/>
    <cellStyle name="Currency 3 2 2 8 2" xfId="6701" xr:uid="{00000000-0005-0000-0000-0000FC0A0000}"/>
    <cellStyle name="Currency 3 2 2 8 2 2" xfId="15130" xr:uid="{6716B83C-FA34-4B8C-98A2-80FA9FD39198}"/>
    <cellStyle name="Currency 3 2 2 8 2 3" xfId="23558" xr:uid="{21A701F9-DD71-4867-9DFE-568C0555CF09}"/>
    <cellStyle name="Currency 3 2 2 8 3" xfId="10912" xr:uid="{D31E617B-C278-4595-8E15-B26D66157765}"/>
    <cellStyle name="Currency 3 2 2 8 4" xfId="19341" xr:uid="{0BF6CAF6-994A-4B4D-8929-ED66F72FE389}"/>
    <cellStyle name="Currency 3 2 2 9" xfId="2712" xr:uid="{00000000-0005-0000-0000-0000FD0A0000}"/>
    <cellStyle name="Currency 3 2 3" xfId="182" xr:uid="{00000000-0005-0000-0000-0000FE0A0000}"/>
    <cellStyle name="Currency 3 2 3 10" xfId="4639" xr:uid="{00000000-0005-0000-0000-0000FF0A0000}"/>
    <cellStyle name="Currency 3 2 3 10 2" xfId="13068" xr:uid="{028FC77D-6EE6-4779-A43F-FD05216C78F0}"/>
    <cellStyle name="Currency 3 2 3 10 3" xfId="21496" xr:uid="{0DA72BDE-7B9E-451A-8625-2790A7D99BBF}"/>
    <cellStyle name="Currency 3 2 3 11" xfId="8850" xr:uid="{81BB0177-17E1-4B26-B253-64ACD323BD43}"/>
    <cellStyle name="Currency 3 2 3 12" xfId="17279" xr:uid="{D75735DF-FBCF-4D70-9E63-A680AB0309A3}"/>
    <cellStyle name="Currency 3 2 3 2" xfId="183" xr:uid="{00000000-0005-0000-0000-0000000B0000}"/>
    <cellStyle name="Currency 3 2 3 2 10" xfId="8851" xr:uid="{7AC44F19-E219-4869-8B75-875F2FEDC0AD}"/>
    <cellStyle name="Currency 3 2 3 2 11" xfId="17280" xr:uid="{7ACD75A7-EEC6-4AC7-9E93-794CEA841703}"/>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8" xr:uid="{87DD9E39-63D3-4E10-96F3-5B0EB0487981}"/>
    <cellStyle name="Currency 3 2 3 2 2 2 2 3" xfId="24056" xr:uid="{31F2C05A-EFAA-4F0C-AA5E-B9C31622E4F9}"/>
    <cellStyle name="Currency 3 2 3 2 2 2 3" xfId="11410" xr:uid="{F17612FB-9AED-4214-9EC6-442E61AE3329}"/>
    <cellStyle name="Currency 3 2 3 2 2 2 4" xfId="19839" xr:uid="{B991859A-B2E9-4D94-893A-7467A8B62B5E}"/>
    <cellStyle name="Currency 3 2 3 2 2 3" xfId="5054" xr:uid="{00000000-0005-0000-0000-0000040B0000}"/>
    <cellStyle name="Currency 3 2 3 2 2 3 2" xfId="13483" xr:uid="{5730D6BF-4721-48B6-AC74-C9B7834E2FDA}"/>
    <cellStyle name="Currency 3 2 3 2 2 3 3" xfId="21911" xr:uid="{C138081B-2183-4ECB-941C-55E06E93E425}"/>
    <cellStyle name="Currency 3 2 3 2 2 4" xfId="9265" xr:uid="{1C105D0F-4334-432F-87AF-74B4C3606B3D}"/>
    <cellStyle name="Currency 3 2 3 2 2 5" xfId="17694" xr:uid="{F57EE571-8A1A-4EF6-8B94-84C1144AA80E}"/>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41" xr:uid="{F6E39255-0762-4458-A8D3-E34510D9FFAA}"/>
    <cellStyle name="Currency 3 2 3 2 3 2 2 3" xfId="24469" xr:uid="{1B5CAC8C-BBDF-4153-9E25-2902A1631E42}"/>
    <cellStyle name="Currency 3 2 3 2 3 2 3" xfId="11823" xr:uid="{64E72C54-8A7A-4AD8-9E49-A76CCF1B62ED}"/>
    <cellStyle name="Currency 3 2 3 2 3 2 4" xfId="20252" xr:uid="{CD8A86C8-86A1-4EAF-BFEA-37C6AB77497D}"/>
    <cellStyle name="Currency 3 2 3 2 3 3" xfId="5467" xr:uid="{00000000-0005-0000-0000-0000080B0000}"/>
    <cellStyle name="Currency 3 2 3 2 3 3 2" xfId="13896" xr:uid="{B71707AE-25FE-4690-916E-373E7D281EB8}"/>
    <cellStyle name="Currency 3 2 3 2 3 3 3" xfId="22324" xr:uid="{DB6597F3-D954-4C82-AE92-C32E695F05B5}"/>
    <cellStyle name="Currency 3 2 3 2 3 4" xfId="9678" xr:uid="{C6B5713D-D46F-4EBA-932E-C3597EB8681B}"/>
    <cellStyle name="Currency 3 2 3 2 3 5" xfId="18107" xr:uid="{FE247E44-8285-4789-9A95-03F6E021CEB9}"/>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54" xr:uid="{91B3C4AC-1A97-43E6-AF89-6FBFFDE5F66A}"/>
    <cellStyle name="Currency 3 2 3 2 4 2 2 3" xfId="24882" xr:uid="{C9D9521A-7B77-447B-8D91-E9B1B5AB8FE1}"/>
    <cellStyle name="Currency 3 2 3 2 4 2 3" xfId="12236" xr:uid="{046570CF-26E2-41D2-BB46-D2323BBDC909}"/>
    <cellStyle name="Currency 3 2 3 2 4 2 4" xfId="20665" xr:uid="{9FF82636-CBE1-4E42-89C8-BBDA0A51A7F4}"/>
    <cellStyle name="Currency 3 2 3 2 4 3" xfId="5880" xr:uid="{00000000-0005-0000-0000-00000C0B0000}"/>
    <cellStyle name="Currency 3 2 3 2 4 3 2" xfId="14309" xr:uid="{23A00DCC-ADD0-41D5-A22F-15BF0D93022A}"/>
    <cellStyle name="Currency 3 2 3 2 4 3 3" xfId="22737" xr:uid="{F959D4C4-B1DB-45EA-8994-579BA9228FD5}"/>
    <cellStyle name="Currency 3 2 3 2 4 4" xfId="10091" xr:uid="{586F3349-03CC-4EEA-82E8-8B22AFCAE828}"/>
    <cellStyle name="Currency 3 2 3 2 4 5" xfId="18520" xr:uid="{C2F63A16-6E89-4EB5-A936-73A0052DEB4A}"/>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7" xr:uid="{6EFC48BC-C6E2-40D2-B7BD-1B13DA145A1C}"/>
    <cellStyle name="Currency 3 2 3 2 5 2 2 3" xfId="25295" xr:uid="{852E7A72-AE1B-4059-8945-49430900A605}"/>
    <cellStyle name="Currency 3 2 3 2 5 2 3" xfId="12649" xr:uid="{0C66F803-9A7D-4F19-BDD9-17C7FA655FEF}"/>
    <cellStyle name="Currency 3 2 3 2 5 2 4" xfId="21078" xr:uid="{836117D8-4D26-46FA-90A6-3F550D2C85B4}"/>
    <cellStyle name="Currency 3 2 3 2 5 3" xfId="6293" xr:uid="{00000000-0005-0000-0000-0000100B0000}"/>
    <cellStyle name="Currency 3 2 3 2 5 3 2" xfId="14722" xr:uid="{328E9563-DF5F-4033-9182-CF75A46A3A7C}"/>
    <cellStyle name="Currency 3 2 3 2 5 3 3" xfId="23150" xr:uid="{88E2C2B4-D8F9-48CD-8F55-7FBA9112CBAA}"/>
    <cellStyle name="Currency 3 2 3 2 5 4" xfId="10504" xr:uid="{6BD926FF-3C1E-4007-9A1A-5148E97C4BB3}"/>
    <cellStyle name="Currency 3 2 3 2 5 5" xfId="18933" xr:uid="{C28BE9A5-52E6-493C-94AF-98CF43EA7F53}"/>
    <cellStyle name="Currency 3 2 3 2 6" xfId="2420" xr:uid="{00000000-0005-0000-0000-0000110B0000}"/>
    <cellStyle name="Currency 3 2 3 2 6 2" xfId="6706" xr:uid="{00000000-0005-0000-0000-0000120B0000}"/>
    <cellStyle name="Currency 3 2 3 2 6 2 2" xfId="15135" xr:uid="{4BA78DF1-F2CA-4680-BE34-61CD9A366A5E}"/>
    <cellStyle name="Currency 3 2 3 2 6 2 3" xfId="23563" xr:uid="{D885CDBE-DFD6-40A5-A560-01F65B1A9F93}"/>
    <cellStyle name="Currency 3 2 3 2 6 3" xfId="10917" xr:uid="{876AE25E-9F50-43AA-ADF3-ED32D14C4661}"/>
    <cellStyle name="Currency 3 2 3 2 6 4" xfId="19346" xr:uid="{1CBEF883-BE35-40AC-AD5E-C5E39944CF52}"/>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52" xr:uid="{795B99E5-CC4B-4C92-A850-5F6B2EC51698}"/>
    <cellStyle name="Currency 3 2 3 2 8 2 3" xfId="23880" xr:uid="{317487E3-C597-4546-976D-3C370E3FFA71}"/>
    <cellStyle name="Currency 3 2 3 2 8 3" xfId="11234" xr:uid="{A62B7B02-D04B-4906-91E4-E5F210DB5003}"/>
    <cellStyle name="Currency 3 2 3 2 8 4" xfId="19663" xr:uid="{EA4865C6-818C-490F-8D08-914624AAFADB}"/>
    <cellStyle name="Currency 3 2 3 2 9" xfId="4640" xr:uid="{00000000-0005-0000-0000-0000160B0000}"/>
    <cellStyle name="Currency 3 2 3 2 9 2" xfId="13069" xr:uid="{4974D5A1-C59C-41B8-9FC3-9AC2AB4CF271}"/>
    <cellStyle name="Currency 3 2 3 2 9 3" xfId="21497" xr:uid="{22AF030A-F974-4DF3-9C83-212CF8AEE42E}"/>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7" xr:uid="{42D7E289-182E-4DAF-9802-5392745BB066}"/>
    <cellStyle name="Currency 3 2 3 3 2 2 3" xfId="24055" xr:uid="{C8B0A230-6539-4EF4-BDCB-D2D1301732FE}"/>
    <cellStyle name="Currency 3 2 3 3 2 3" xfId="11409" xr:uid="{2D866623-DAEE-424F-8248-AC0098E7EB52}"/>
    <cellStyle name="Currency 3 2 3 3 2 4" xfId="19838" xr:uid="{630D530C-F5B5-4BE6-8623-EA8E084CB38D}"/>
    <cellStyle name="Currency 3 2 3 3 3" xfId="5053" xr:uid="{00000000-0005-0000-0000-00001A0B0000}"/>
    <cellStyle name="Currency 3 2 3 3 3 2" xfId="13482" xr:uid="{A0922B00-2556-4935-8A85-5624A2BFE554}"/>
    <cellStyle name="Currency 3 2 3 3 3 3" xfId="21910" xr:uid="{789E0863-08DA-42A8-B4AC-B33C269B311F}"/>
    <cellStyle name="Currency 3 2 3 3 4" xfId="9264" xr:uid="{F971A97A-DAA9-422F-ACB0-839E584EBBDE}"/>
    <cellStyle name="Currency 3 2 3 3 5" xfId="17693" xr:uid="{E6796055-003F-46ED-86B6-63F4E27DC154}"/>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40" xr:uid="{F7E42D39-CBB4-4D68-A201-BB97C6F35F11}"/>
    <cellStyle name="Currency 3 2 3 4 2 2 3" xfId="24468" xr:uid="{AFA73A2A-C664-47F1-A081-2D840E95E01D}"/>
    <cellStyle name="Currency 3 2 3 4 2 3" xfId="11822" xr:uid="{8E0FE8DC-780D-49B8-83E4-68B493EB4FC5}"/>
    <cellStyle name="Currency 3 2 3 4 2 4" xfId="20251" xr:uid="{DAFA5B3A-F91B-4C47-AD5A-A8B10B5BBDE7}"/>
    <cellStyle name="Currency 3 2 3 4 3" xfId="5466" xr:uid="{00000000-0005-0000-0000-00001E0B0000}"/>
    <cellStyle name="Currency 3 2 3 4 3 2" xfId="13895" xr:uid="{516CD7D1-E927-4589-990F-79FA1AEE5F65}"/>
    <cellStyle name="Currency 3 2 3 4 3 3" xfId="22323" xr:uid="{E5B31802-70FA-46C8-A3BE-FD1E696561F2}"/>
    <cellStyle name="Currency 3 2 3 4 4" xfId="9677" xr:uid="{3330D35B-630A-40A7-AD42-84AD85989ED2}"/>
    <cellStyle name="Currency 3 2 3 4 5" xfId="18106" xr:uid="{F92FD51C-F64D-4A9C-8270-0953CCB3269E}"/>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53" xr:uid="{F7E318D7-1E49-4803-99DB-22E17E54C8D3}"/>
    <cellStyle name="Currency 3 2 3 5 2 2 3" xfId="24881" xr:uid="{B9A71083-6034-4676-BEB9-DAA296891A9F}"/>
    <cellStyle name="Currency 3 2 3 5 2 3" xfId="12235" xr:uid="{56BC6BF4-5FEA-4BB2-9D83-A74CB32AB4C7}"/>
    <cellStyle name="Currency 3 2 3 5 2 4" xfId="20664" xr:uid="{04ED82B7-65FF-444C-89FA-6F8F7286E582}"/>
    <cellStyle name="Currency 3 2 3 5 3" xfId="5879" xr:uid="{00000000-0005-0000-0000-0000220B0000}"/>
    <cellStyle name="Currency 3 2 3 5 3 2" xfId="14308" xr:uid="{F6046789-51F3-4061-B5A4-12720B1C0AC9}"/>
    <cellStyle name="Currency 3 2 3 5 3 3" xfId="22736" xr:uid="{3C9FCDCD-5A56-4F90-90D6-213B224C3136}"/>
    <cellStyle name="Currency 3 2 3 5 4" xfId="10090" xr:uid="{37BC00C7-7A45-4DFA-A787-39D6932C22C3}"/>
    <cellStyle name="Currency 3 2 3 5 5" xfId="18519" xr:uid="{63562EDF-6DBF-42C0-AFF5-3FAE967194D7}"/>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66" xr:uid="{A11D3472-00FF-43CF-BFE4-BDBE9C029DEF}"/>
    <cellStyle name="Currency 3 2 3 6 2 2 3" xfId="25294" xr:uid="{C4DB6FEE-56DC-4CF1-B90F-7E33B1BB5037}"/>
    <cellStyle name="Currency 3 2 3 6 2 3" xfId="12648" xr:uid="{50E9F50A-5378-4350-B058-04ABF38B39C0}"/>
    <cellStyle name="Currency 3 2 3 6 2 4" xfId="21077" xr:uid="{A9D2AF75-3ADE-46F0-B4AB-1AEB98940346}"/>
    <cellStyle name="Currency 3 2 3 6 3" xfId="6292" xr:uid="{00000000-0005-0000-0000-0000260B0000}"/>
    <cellStyle name="Currency 3 2 3 6 3 2" xfId="14721" xr:uid="{CB5D555E-305A-4CFB-987F-A6440CE6D90B}"/>
    <cellStyle name="Currency 3 2 3 6 3 3" xfId="23149" xr:uid="{086C9CF3-86BE-468A-A85D-C5BB07AA41ED}"/>
    <cellStyle name="Currency 3 2 3 6 4" xfId="10503" xr:uid="{DB9EF9F3-A6FB-4111-ACB9-0FE7308E6EB1}"/>
    <cellStyle name="Currency 3 2 3 6 5" xfId="18932" xr:uid="{D17A9398-F393-47BE-8091-9E6C22EA5B7A}"/>
    <cellStyle name="Currency 3 2 3 7" xfId="2419" xr:uid="{00000000-0005-0000-0000-0000270B0000}"/>
    <cellStyle name="Currency 3 2 3 7 2" xfId="6705" xr:uid="{00000000-0005-0000-0000-0000280B0000}"/>
    <cellStyle name="Currency 3 2 3 7 2 2" xfId="15134" xr:uid="{78A430F3-8F2E-40CC-897F-16223C0F0DFE}"/>
    <cellStyle name="Currency 3 2 3 7 2 3" xfId="23562" xr:uid="{FD52B632-6B0D-4736-A55C-4B4549B8B112}"/>
    <cellStyle name="Currency 3 2 3 7 3" xfId="10916" xr:uid="{D8B260D7-5041-42A3-BADD-345755E920C6}"/>
    <cellStyle name="Currency 3 2 3 7 4" xfId="19345" xr:uid="{7A290046-3E10-4413-BA99-B7E17390B0F8}"/>
    <cellStyle name="Currency 3 2 3 8" xfId="2716" xr:uid="{00000000-0005-0000-0000-0000290B0000}"/>
    <cellStyle name="Currency 3 2 3 9" xfId="2797" xr:uid="{00000000-0005-0000-0000-00002A0B0000}"/>
    <cellStyle name="Currency 3 2 3 9 2" xfId="7022" xr:uid="{00000000-0005-0000-0000-00002B0B0000}"/>
    <cellStyle name="Currency 3 2 3 9 2 2" xfId="15451" xr:uid="{0A6EED72-104C-4D1E-A9C4-F397F576A551}"/>
    <cellStyle name="Currency 3 2 3 9 2 3" xfId="23879" xr:uid="{DFDFCCCE-9622-4F9A-A2F1-5C77A2961B0B}"/>
    <cellStyle name="Currency 3 2 3 9 3" xfId="11233" xr:uid="{5FF05129-B6F3-407F-B910-452D190F700E}"/>
    <cellStyle name="Currency 3 2 3 9 4" xfId="19662" xr:uid="{6A8AC200-1679-4C91-8F1C-6D9959D03086}"/>
    <cellStyle name="Currency 3 2 4" xfId="184" xr:uid="{00000000-0005-0000-0000-00002C0B0000}"/>
    <cellStyle name="Currency 3 2 4 10" xfId="8852" xr:uid="{37C32DD9-CC70-4552-A3A7-492D8987498A}"/>
    <cellStyle name="Currency 3 2 4 11" xfId="17281" xr:uid="{791D2CE9-0458-49AD-B1DD-331758AE087F}"/>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9" xr:uid="{2D892F8F-0767-423A-BD9D-C33FC93B6601}"/>
    <cellStyle name="Currency 3 2 4 2 2 2 3" xfId="24057" xr:uid="{5BED0AA4-1E6B-458E-B5A3-B64F16D154F1}"/>
    <cellStyle name="Currency 3 2 4 2 2 3" xfId="11411" xr:uid="{1E6D2B9B-CB2A-4833-BE25-281226236E95}"/>
    <cellStyle name="Currency 3 2 4 2 2 4" xfId="19840" xr:uid="{48DF028C-3BB5-44CD-A386-C569D759E846}"/>
    <cellStyle name="Currency 3 2 4 2 3" xfId="5055" xr:uid="{00000000-0005-0000-0000-0000300B0000}"/>
    <cellStyle name="Currency 3 2 4 2 3 2" xfId="13484" xr:uid="{DF992FAB-7D30-43B9-893A-5DF53F623B8C}"/>
    <cellStyle name="Currency 3 2 4 2 3 3" xfId="21912" xr:uid="{F87D4BF8-C36F-4CA6-9DF2-59526B1621A7}"/>
    <cellStyle name="Currency 3 2 4 2 4" xfId="9266" xr:uid="{FDE26528-F85C-4DCF-B6C9-E5CB9A26CABC}"/>
    <cellStyle name="Currency 3 2 4 2 5" xfId="17695" xr:uid="{EA827B68-D3EF-4FF7-B9E7-01532472F81A}"/>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42" xr:uid="{4811EF7D-279F-438B-B570-CCA5F8786A8E}"/>
    <cellStyle name="Currency 3 2 4 3 2 2 3" xfId="24470" xr:uid="{7D79BB54-8D0B-4A56-886C-219D10F8F4ED}"/>
    <cellStyle name="Currency 3 2 4 3 2 3" xfId="11824" xr:uid="{55555266-6630-419B-A9E3-822EA5651338}"/>
    <cellStyle name="Currency 3 2 4 3 2 4" xfId="20253" xr:uid="{23BCB29F-E8A2-46D3-A78F-2CD9814DE19C}"/>
    <cellStyle name="Currency 3 2 4 3 3" xfId="5468" xr:uid="{00000000-0005-0000-0000-0000340B0000}"/>
    <cellStyle name="Currency 3 2 4 3 3 2" xfId="13897" xr:uid="{A19AA36A-17AB-4A71-BBAF-530503EA7E3F}"/>
    <cellStyle name="Currency 3 2 4 3 3 3" xfId="22325" xr:uid="{B07D995E-A0C2-446F-AE92-58E6172B790B}"/>
    <cellStyle name="Currency 3 2 4 3 4" xfId="9679" xr:uid="{FACD6526-919F-4F25-860C-019CD97ACC59}"/>
    <cellStyle name="Currency 3 2 4 3 5" xfId="18108" xr:uid="{007A24FC-7306-4095-BB70-0AE6976B94F5}"/>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55" xr:uid="{83557D00-6667-45A4-BAC2-0370A7B54C9B}"/>
    <cellStyle name="Currency 3 2 4 4 2 2 3" xfId="24883" xr:uid="{03FD493B-EDD3-4EF2-8A87-A4EF82C3D94F}"/>
    <cellStyle name="Currency 3 2 4 4 2 3" xfId="12237" xr:uid="{10FCF190-FF1D-442F-82C2-4F8AC23DA69B}"/>
    <cellStyle name="Currency 3 2 4 4 2 4" xfId="20666" xr:uid="{F9DAD9EE-E4F9-4FC0-BC32-7452F56EFDAD}"/>
    <cellStyle name="Currency 3 2 4 4 3" xfId="5881" xr:uid="{00000000-0005-0000-0000-0000380B0000}"/>
    <cellStyle name="Currency 3 2 4 4 3 2" xfId="14310" xr:uid="{9D402659-1B0F-4B81-8468-FF20B2A5CC13}"/>
    <cellStyle name="Currency 3 2 4 4 3 3" xfId="22738" xr:uid="{4041A777-E3BB-41E5-8F85-047D08E849F9}"/>
    <cellStyle name="Currency 3 2 4 4 4" xfId="10092" xr:uid="{A1E3CA53-2070-40A6-826C-D7CC91B7DC48}"/>
    <cellStyle name="Currency 3 2 4 4 5" xfId="18521" xr:uid="{AF7AD34E-AA01-4D4C-84C9-CB59FCB8B239}"/>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8" xr:uid="{540598A7-8977-4D02-821D-D8BDCDDDB7EA}"/>
    <cellStyle name="Currency 3 2 4 5 2 2 3" xfId="25296" xr:uid="{AEB9978B-AF8F-4A0E-A8E6-D36FA6CE1BD3}"/>
    <cellStyle name="Currency 3 2 4 5 2 3" xfId="12650" xr:uid="{CEF15439-C3E2-4089-9F0A-BD8EB311DA7F}"/>
    <cellStyle name="Currency 3 2 4 5 2 4" xfId="21079" xr:uid="{7D799563-BCAA-4E4F-B208-84240FF45E24}"/>
    <cellStyle name="Currency 3 2 4 5 3" xfId="6294" xr:uid="{00000000-0005-0000-0000-00003C0B0000}"/>
    <cellStyle name="Currency 3 2 4 5 3 2" xfId="14723" xr:uid="{D519611E-75C4-45FF-884C-1754A8525DB6}"/>
    <cellStyle name="Currency 3 2 4 5 3 3" xfId="23151" xr:uid="{D2E813FD-B3CF-4DC1-8D44-31B2B6F33559}"/>
    <cellStyle name="Currency 3 2 4 5 4" xfId="10505" xr:uid="{A1F8E093-F318-4D57-AD6E-79BBE9D83752}"/>
    <cellStyle name="Currency 3 2 4 5 5" xfId="18934" xr:uid="{2C1E2590-615A-4BAD-B800-A94ED9BB805E}"/>
    <cellStyle name="Currency 3 2 4 6" xfId="2421" xr:uid="{00000000-0005-0000-0000-00003D0B0000}"/>
    <cellStyle name="Currency 3 2 4 6 2" xfId="6707" xr:uid="{00000000-0005-0000-0000-00003E0B0000}"/>
    <cellStyle name="Currency 3 2 4 6 2 2" xfId="15136" xr:uid="{1010261C-C818-4E2E-A052-15F1754B6CD1}"/>
    <cellStyle name="Currency 3 2 4 6 2 3" xfId="23564" xr:uid="{33E39F01-146F-4503-8795-FAB593CB9DD3}"/>
    <cellStyle name="Currency 3 2 4 6 3" xfId="10918" xr:uid="{83C001F9-8106-4BB1-8BF5-F7FCB2FCDC9C}"/>
    <cellStyle name="Currency 3 2 4 6 4" xfId="19347" xr:uid="{BEFAC08F-966B-4F7B-AEB7-D25FDC5D02AA}"/>
    <cellStyle name="Currency 3 2 4 7" xfId="2718" xr:uid="{00000000-0005-0000-0000-00003F0B0000}"/>
    <cellStyle name="Currency 3 2 4 8" xfId="2799" xr:uid="{00000000-0005-0000-0000-0000400B0000}"/>
    <cellStyle name="Currency 3 2 4 8 2" xfId="7024" xr:uid="{00000000-0005-0000-0000-0000410B0000}"/>
    <cellStyle name="Currency 3 2 4 8 2 2" xfId="15453" xr:uid="{80B360A6-9DD7-4BD5-BD1F-F2D6169CC5E5}"/>
    <cellStyle name="Currency 3 2 4 8 2 3" xfId="23881" xr:uid="{D8444739-B47F-43A6-A8D8-05672A3AF686}"/>
    <cellStyle name="Currency 3 2 4 8 3" xfId="11235" xr:uid="{B74A5BCB-0697-4005-BD5C-10C531A547E5}"/>
    <cellStyle name="Currency 3 2 4 8 4" xfId="19664" xr:uid="{DC16DE08-BBAF-438E-B3E5-26148073D22E}"/>
    <cellStyle name="Currency 3 2 4 9" xfId="4641" xr:uid="{00000000-0005-0000-0000-0000420B0000}"/>
    <cellStyle name="Currency 3 2 4 9 2" xfId="13070" xr:uid="{C79CC3E2-13BF-4FE3-82B4-E881D4F341E9}"/>
    <cellStyle name="Currency 3 2 4 9 3" xfId="21498" xr:uid="{06870310-8B74-4411-99BA-46D73B4216B8}"/>
    <cellStyle name="Currency 3 2 5" xfId="185" xr:uid="{00000000-0005-0000-0000-0000430B0000}"/>
    <cellStyle name="Currency 3 2 5 10" xfId="8853" xr:uid="{9D9B92A3-810F-461B-B16C-69B8C7B5410E}"/>
    <cellStyle name="Currency 3 2 5 11" xfId="17282" xr:uid="{6AB09960-A6A6-4F10-8BFD-90A262A6256A}"/>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30" xr:uid="{DBEA0B75-979B-496F-81B7-9EEFFE693B31}"/>
    <cellStyle name="Currency 3 2 5 2 2 2 3" xfId="24058" xr:uid="{4651B58D-6AFE-42D6-A2CA-351A785E3B2A}"/>
    <cellStyle name="Currency 3 2 5 2 2 3" xfId="11412" xr:uid="{1E1A6F33-7C39-4458-B9EF-C1ABB2D11FEB}"/>
    <cellStyle name="Currency 3 2 5 2 2 4" xfId="19841" xr:uid="{D44D0C4D-446A-4BF8-80DD-70D29F5BD2F0}"/>
    <cellStyle name="Currency 3 2 5 2 3" xfId="5056" xr:uid="{00000000-0005-0000-0000-0000470B0000}"/>
    <cellStyle name="Currency 3 2 5 2 3 2" xfId="13485" xr:uid="{8B47D3C2-C75C-4030-A992-FB810FD8BEAA}"/>
    <cellStyle name="Currency 3 2 5 2 3 3" xfId="21913" xr:uid="{A3A37969-EBB8-412A-BB4E-6700FBDEFCE7}"/>
    <cellStyle name="Currency 3 2 5 2 4" xfId="9267" xr:uid="{EB35E9BC-CA6F-43BE-AE0F-F8CE8D2A8B96}"/>
    <cellStyle name="Currency 3 2 5 2 5" xfId="17696" xr:uid="{B7C417EF-7775-4B27-B070-B6CD12A98E2C}"/>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43" xr:uid="{2E256953-AE28-418C-9F11-368DD30824D3}"/>
    <cellStyle name="Currency 3 2 5 3 2 2 3" xfId="24471" xr:uid="{980A95C1-56FA-4500-9D67-8682F061CEB5}"/>
    <cellStyle name="Currency 3 2 5 3 2 3" xfId="11825" xr:uid="{ACC6BBCD-4411-45C6-BE09-37BC28710730}"/>
    <cellStyle name="Currency 3 2 5 3 2 4" xfId="20254" xr:uid="{49C9E528-0D5D-4536-85E2-5222ED3A3E9C}"/>
    <cellStyle name="Currency 3 2 5 3 3" xfId="5469" xr:uid="{00000000-0005-0000-0000-00004B0B0000}"/>
    <cellStyle name="Currency 3 2 5 3 3 2" xfId="13898" xr:uid="{6B2D1A4D-2251-42C4-B3C1-52113AE81D37}"/>
    <cellStyle name="Currency 3 2 5 3 3 3" xfId="22326" xr:uid="{0A937FDF-B501-43A4-BF8C-0F78BA4D2578}"/>
    <cellStyle name="Currency 3 2 5 3 4" xfId="9680" xr:uid="{43B96289-6A4A-4C7B-B93C-369C1B9A8AF1}"/>
    <cellStyle name="Currency 3 2 5 3 5" xfId="18109" xr:uid="{D3EFE85C-C98E-4328-949A-93E289F97712}"/>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56" xr:uid="{50E93AE1-0E5E-4FF2-A800-362D22E2F488}"/>
    <cellStyle name="Currency 3 2 5 4 2 2 3" xfId="24884" xr:uid="{52D02705-60CE-4584-AF61-C464E4D9CC1E}"/>
    <cellStyle name="Currency 3 2 5 4 2 3" xfId="12238" xr:uid="{723AC064-EAC2-4B56-BFC1-6A6B2891FAA9}"/>
    <cellStyle name="Currency 3 2 5 4 2 4" xfId="20667" xr:uid="{49F5AC2F-709C-40F0-96D0-5C29ECDFA58D}"/>
    <cellStyle name="Currency 3 2 5 4 3" xfId="5882" xr:uid="{00000000-0005-0000-0000-00004F0B0000}"/>
    <cellStyle name="Currency 3 2 5 4 3 2" xfId="14311" xr:uid="{F430895F-9EA2-46BC-A0DA-CDD1B758ACF7}"/>
    <cellStyle name="Currency 3 2 5 4 3 3" xfId="22739" xr:uid="{C5E7B15E-8217-41EC-91DE-912AF77E55F1}"/>
    <cellStyle name="Currency 3 2 5 4 4" xfId="10093" xr:uid="{87236DC9-1FEE-4390-8DB8-4E89BF41B585}"/>
    <cellStyle name="Currency 3 2 5 4 5" xfId="18522" xr:uid="{8E1562BA-E822-4F54-B0FC-5EA724C0C65D}"/>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9" xr:uid="{F15CF4DF-A9A4-4DAD-A048-6A93CA36D76F}"/>
    <cellStyle name="Currency 3 2 5 5 2 2 3" xfId="25297" xr:uid="{B9EB536C-3760-4302-969C-164A0C4DC08D}"/>
    <cellStyle name="Currency 3 2 5 5 2 3" xfId="12651" xr:uid="{F330113D-F3D5-41C4-9E8A-328ED8F28B5C}"/>
    <cellStyle name="Currency 3 2 5 5 2 4" xfId="21080" xr:uid="{6DBE2E4D-8707-4C53-9605-883FBF3A20EA}"/>
    <cellStyle name="Currency 3 2 5 5 3" xfId="6295" xr:uid="{00000000-0005-0000-0000-0000530B0000}"/>
    <cellStyle name="Currency 3 2 5 5 3 2" xfId="14724" xr:uid="{481359A5-3C6B-43FB-A662-2E7F70B8B97E}"/>
    <cellStyle name="Currency 3 2 5 5 3 3" xfId="23152" xr:uid="{C63D3B31-31FB-466C-94CF-122F2A2CF08F}"/>
    <cellStyle name="Currency 3 2 5 5 4" xfId="10506" xr:uid="{4D07E0D1-3C27-41A4-8FF8-693491E65BDF}"/>
    <cellStyle name="Currency 3 2 5 5 5" xfId="18935" xr:uid="{70FD6184-2E02-43D4-A445-30A785698F5E}"/>
    <cellStyle name="Currency 3 2 5 6" xfId="2422" xr:uid="{00000000-0005-0000-0000-0000540B0000}"/>
    <cellStyle name="Currency 3 2 5 6 2" xfId="6708" xr:uid="{00000000-0005-0000-0000-0000550B0000}"/>
    <cellStyle name="Currency 3 2 5 6 2 2" xfId="15137" xr:uid="{BAE809D0-EA9B-448D-8D43-B9EEAE6015E7}"/>
    <cellStyle name="Currency 3 2 5 6 2 3" xfId="23565" xr:uid="{F8D4AC8D-0729-4547-B525-FB63AE472BB5}"/>
    <cellStyle name="Currency 3 2 5 6 3" xfId="10919" xr:uid="{070C699E-C807-4BD3-BF23-58C34B3A9360}"/>
    <cellStyle name="Currency 3 2 5 6 4" xfId="19348" xr:uid="{504C18B6-5A55-42F7-A65D-5A6E9A634CE1}"/>
    <cellStyle name="Currency 3 2 5 7" xfId="2719" xr:uid="{00000000-0005-0000-0000-0000560B0000}"/>
    <cellStyle name="Currency 3 2 5 8" xfId="2800" xr:uid="{00000000-0005-0000-0000-0000570B0000}"/>
    <cellStyle name="Currency 3 2 5 8 2" xfId="7025" xr:uid="{00000000-0005-0000-0000-0000580B0000}"/>
    <cellStyle name="Currency 3 2 5 8 2 2" xfId="15454" xr:uid="{63BB61D7-7313-4423-8DB9-02E06643A73E}"/>
    <cellStyle name="Currency 3 2 5 8 2 3" xfId="23882" xr:uid="{A9E8A846-B886-4DBA-8C59-11BB4EA56891}"/>
    <cellStyle name="Currency 3 2 5 8 3" xfId="11236" xr:uid="{4264C54C-BBE4-4A60-9D90-442E945FC77D}"/>
    <cellStyle name="Currency 3 2 5 8 4" xfId="19665" xr:uid="{0EF94844-126C-4FBD-AA2D-FD3F2CE4966D}"/>
    <cellStyle name="Currency 3 2 5 9" xfId="4642" xr:uid="{00000000-0005-0000-0000-0000590B0000}"/>
    <cellStyle name="Currency 3 2 5 9 2" xfId="13071" xr:uid="{F734A3ED-9A5A-4960-9D31-AC8984DA9BC2}"/>
    <cellStyle name="Currency 3 2 5 9 3" xfId="21499" xr:uid="{3851AF9A-9ED1-4526-AD42-2AF2F3F692AF}"/>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55" xr:uid="{5F531698-0BA7-408C-BE07-75C7BCFC6C11}"/>
    <cellStyle name="Currency 5 2 2 2 10 2 3" xfId="23883" xr:uid="{8D2FBFC0-9E9A-4023-8AE9-9D12009EFDB2}"/>
    <cellStyle name="Currency 5 2 2 2 10 3" xfId="11237" xr:uid="{4BFC3819-DA35-4B0A-8EFF-930FBB14CC59}"/>
    <cellStyle name="Currency 5 2 2 2 10 4" xfId="19666" xr:uid="{DABA02FD-6E18-414C-87B2-184CF7F1FCB8}"/>
    <cellStyle name="Currency 5 2 2 2 11" xfId="4643" xr:uid="{00000000-0005-0000-0000-00006C0B0000}"/>
    <cellStyle name="Currency 5 2 2 2 11 2" xfId="13072" xr:uid="{9AC0F36A-253F-4EFC-A123-8992669A0488}"/>
    <cellStyle name="Currency 5 2 2 2 11 3" xfId="21500" xr:uid="{1C1F0729-233D-414E-A653-0FCF022D1523}"/>
    <cellStyle name="Currency 5 2 2 2 12" xfId="8854" xr:uid="{A770CFFC-DB75-4068-8DC2-A885702F3A49}"/>
    <cellStyle name="Currency 5 2 2 2 13" xfId="17283" xr:uid="{EDDE6E5B-4998-4D51-9387-431DCF01CD0F}"/>
    <cellStyle name="Currency 5 2 2 2 2" xfId="197" xr:uid="{00000000-0005-0000-0000-00006D0B0000}"/>
    <cellStyle name="Currency 5 2 2 2 2 10" xfId="4644" xr:uid="{00000000-0005-0000-0000-00006E0B0000}"/>
    <cellStyle name="Currency 5 2 2 2 2 10 2" xfId="13073" xr:uid="{6A1D00F3-BE82-4C72-B574-39D0F287F0E6}"/>
    <cellStyle name="Currency 5 2 2 2 2 10 3" xfId="21501" xr:uid="{889126D4-67FC-4E74-9B56-090E5F39551E}"/>
    <cellStyle name="Currency 5 2 2 2 2 11" xfId="8855" xr:uid="{F23F75A3-17A8-47CB-A31A-8E75B3CA871E}"/>
    <cellStyle name="Currency 5 2 2 2 2 12" xfId="17284" xr:uid="{CE1513C3-9E23-4EAA-8E84-D318FAD0D326}"/>
    <cellStyle name="Currency 5 2 2 2 2 2" xfId="198" xr:uid="{00000000-0005-0000-0000-00006F0B0000}"/>
    <cellStyle name="Currency 5 2 2 2 2 2 10" xfId="8856" xr:uid="{53B86795-7D0D-441F-AC64-D07271103645}"/>
    <cellStyle name="Currency 5 2 2 2 2 2 11" xfId="17285" xr:uid="{7E1C1158-DF78-446B-81C4-D900AC819C13}"/>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33" xr:uid="{D32CF440-E77B-4394-BB5A-7DBD444D0718}"/>
    <cellStyle name="Currency 5 2 2 2 2 2 2 2 2 3" xfId="24061" xr:uid="{F585F790-AA89-426D-A53C-23DBAB882F3D}"/>
    <cellStyle name="Currency 5 2 2 2 2 2 2 2 3" xfId="11415" xr:uid="{B0F22D1E-0C0B-4650-A2CA-3BD204271808}"/>
    <cellStyle name="Currency 5 2 2 2 2 2 2 2 4" xfId="19844" xr:uid="{99F2BA69-39EC-454A-AE7A-38D3C48048F6}"/>
    <cellStyle name="Currency 5 2 2 2 2 2 2 3" xfId="5059" xr:uid="{00000000-0005-0000-0000-0000730B0000}"/>
    <cellStyle name="Currency 5 2 2 2 2 2 2 3 2" xfId="13488" xr:uid="{43AABE91-53FB-4104-A8EB-3795A4CAF05D}"/>
    <cellStyle name="Currency 5 2 2 2 2 2 2 3 3" xfId="21916" xr:uid="{823C1B7A-651D-4899-8CCE-B04AC5FE7D3C}"/>
    <cellStyle name="Currency 5 2 2 2 2 2 2 4" xfId="9270" xr:uid="{CA01E9FE-081A-4684-B4D9-61F6499A8ED7}"/>
    <cellStyle name="Currency 5 2 2 2 2 2 2 5" xfId="17699" xr:uid="{1D1B655F-2932-4873-A7B4-09BB8D592BB9}"/>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46" xr:uid="{648BD23C-EC97-49F9-89A1-55D7E7A8CBD2}"/>
    <cellStyle name="Currency 5 2 2 2 2 2 3 2 2 3" xfId="24474" xr:uid="{6F206280-46F7-4973-B302-A6A54A6C10FB}"/>
    <cellStyle name="Currency 5 2 2 2 2 2 3 2 3" xfId="11828" xr:uid="{FB1D8C0B-8BB4-485F-A9C7-EEA340120D5A}"/>
    <cellStyle name="Currency 5 2 2 2 2 2 3 2 4" xfId="20257" xr:uid="{87A29F80-2CD3-443B-B478-F250E49DFEA6}"/>
    <cellStyle name="Currency 5 2 2 2 2 2 3 3" xfId="5472" xr:uid="{00000000-0005-0000-0000-0000770B0000}"/>
    <cellStyle name="Currency 5 2 2 2 2 2 3 3 2" xfId="13901" xr:uid="{3940A186-8AC6-435F-99F0-4FF3C3003933}"/>
    <cellStyle name="Currency 5 2 2 2 2 2 3 3 3" xfId="22329" xr:uid="{282E2AA7-6E36-49BE-A550-C84BCEC5B265}"/>
    <cellStyle name="Currency 5 2 2 2 2 2 3 4" xfId="9683" xr:uid="{19437216-D324-4F34-B758-3F5676025174}"/>
    <cellStyle name="Currency 5 2 2 2 2 2 3 5" xfId="18112" xr:uid="{F9558A81-EB9C-4EB5-B43A-DB922E091CD2}"/>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9" xr:uid="{DF558246-82E2-4147-A8A5-3BEBE71BFC1F}"/>
    <cellStyle name="Currency 5 2 2 2 2 2 4 2 2 3" xfId="24887" xr:uid="{8E66D221-530E-48B2-8ED0-BFC49FF9DD81}"/>
    <cellStyle name="Currency 5 2 2 2 2 2 4 2 3" xfId="12241" xr:uid="{57ABA18D-FE3D-4465-B35E-6AFA905A3BD8}"/>
    <cellStyle name="Currency 5 2 2 2 2 2 4 2 4" xfId="20670" xr:uid="{A85D22E9-8153-452A-96D4-5971F24C8F68}"/>
    <cellStyle name="Currency 5 2 2 2 2 2 4 3" xfId="5885" xr:uid="{00000000-0005-0000-0000-00007B0B0000}"/>
    <cellStyle name="Currency 5 2 2 2 2 2 4 3 2" xfId="14314" xr:uid="{BB3F6155-E6E2-4C45-A91D-851DA01F8459}"/>
    <cellStyle name="Currency 5 2 2 2 2 2 4 3 3" xfId="22742" xr:uid="{40C7FE87-24E6-4336-97B2-89AB9FC4E605}"/>
    <cellStyle name="Currency 5 2 2 2 2 2 4 4" xfId="10096" xr:uid="{A34D8E63-48A1-4FB6-BB41-CCC7E633CE8C}"/>
    <cellStyle name="Currency 5 2 2 2 2 2 4 5" xfId="18525" xr:uid="{0A54C5D5-B2B1-4B2D-BB66-16621F77476C}"/>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72" xr:uid="{6A3B12B6-F0DF-4C30-8828-09B2D44A9149}"/>
    <cellStyle name="Currency 5 2 2 2 2 2 5 2 2 3" xfId="25300" xr:uid="{F2D2F9BD-4158-473C-9E4D-9D61D7619A6E}"/>
    <cellStyle name="Currency 5 2 2 2 2 2 5 2 3" xfId="12654" xr:uid="{53E68C48-E06A-4D5F-B714-31E9F5BA64E7}"/>
    <cellStyle name="Currency 5 2 2 2 2 2 5 2 4" xfId="21083" xr:uid="{CD1FF9F1-A2CE-4D2D-9ADD-CF633FB00437}"/>
    <cellStyle name="Currency 5 2 2 2 2 2 5 3" xfId="6298" xr:uid="{00000000-0005-0000-0000-00007F0B0000}"/>
    <cellStyle name="Currency 5 2 2 2 2 2 5 3 2" xfId="14727" xr:uid="{733F7484-909A-4BAE-A724-A92B11C6FCCD}"/>
    <cellStyle name="Currency 5 2 2 2 2 2 5 3 3" xfId="23155" xr:uid="{F79BE535-F879-4FBB-8A7B-F99AB22EA406}"/>
    <cellStyle name="Currency 5 2 2 2 2 2 5 4" xfId="10509" xr:uid="{46AAD494-4B19-4469-8542-FF4A2071AFEE}"/>
    <cellStyle name="Currency 5 2 2 2 2 2 5 5" xfId="18938" xr:uid="{D3611C01-16B1-40EB-8776-785748263B19}"/>
    <cellStyle name="Currency 5 2 2 2 2 2 6" xfId="2425" xr:uid="{00000000-0005-0000-0000-0000800B0000}"/>
    <cellStyle name="Currency 5 2 2 2 2 2 6 2" xfId="6711" xr:uid="{00000000-0005-0000-0000-0000810B0000}"/>
    <cellStyle name="Currency 5 2 2 2 2 2 6 2 2" xfId="15140" xr:uid="{64E6F120-B870-47BC-AD72-133583AFA53E}"/>
    <cellStyle name="Currency 5 2 2 2 2 2 6 2 3" xfId="23568" xr:uid="{5CEB558F-D04D-4BEC-B1F1-1E0295CBE50D}"/>
    <cellStyle name="Currency 5 2 2 2 2 2 6 3" xfId="10922" xr:uid="{661F0A7B-F358-49FB-85C7-E92B032388CA}"/>
    <cellStyle name="Currency 5 2 2 2 2 2 6 4" xfId="19351" xr:uid="{B7A201AC-42D8-4FF9-BE72-39D025470FB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7" xr:uid="{76A3E48B-4BB7-44F2-9392-9DB285CB9EEF}"/>
    <cellStyle name="Currency 5 2 2 2 2 2 8 2 3" xfId="23885" xr:uid="{D1D6E849-8018-47D8-86AC-8DF1C1533231}"/>
    <cellStyle name="Currency 5 2 2 2 2 2 8 3" xfId="11239" xr:uid="{18B965C4-C4CB-4143-A982-07C0B5DDD976}"/>
    <cellStyle name="Currency 5 2 2 2 2 2 8 4" xfId="19668" xr:uid="{1C85F2D5-A9C8-40C7-85FF-C14F0C264060}"/>
    <cellStyle name="Currency 5 2 2 2 2 2 9" xfId="4645" xr:uid="{00000000-0005-0000-0000-0000850B0000}"/>
    <cellStyle name="Currency 5 2 2 2 2 2 9 2" xfId="13074" xr:uid="{F9BF7B52-913B-4CCF-97E5-6813228B1EE8}"/>
    <cellStyle name="Currency 5 2 2 2 2 2 9 3" xfId="21502" xr:uid="{A36A8CE0-2187-48B7-AC98-608FE9B15EBA}"/>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32" xr:uid="{8868E1C2-3D9F-4F90-8D1E-2F9F8286E2B2}"/>
    <cellStyle name="Currency 5 2 2 2 2 3 2 2 3" xfId="24060" xr:uid="{0BA14691-8B60-4168-B020-C49BFF7B9EFE}"/>
    <cellStyle name="Currency 5 2 2 2 2 3 2 3" xfId="11414" xr:uid="{F10C4427-C1B9-4CCA-80DB-6A4CAD5BFDA1}"/>
    <cellStyle name="Currency 5 2 2 2 2 3 2 4" xfId="19843" xr:uid="{1656D419-AB05-4FE2-9CAE-FABD748188BF}"/>
    <cellStyle name="Currency 5 2 2 2 2 3 3" xfId="5058" xr:uid="{00000000-0005-0000-0000-0000890B0000}"/>
    <cellStyle name="Currency 5 2 2 2 2 3 3 2" xfId="13487" xr:uid="{E4E1769C-4D12-4489-8382-7BBE239FC545}"/>
    <cellStyle name="Currency 5 2 2 2 2 3 3 3" xfId="21915" xr:uid="{BF4C36DF-0DC4-4208-AD53-A16F46A66282}"/>
    <cellStyle name="Currency 5 2 2 2 2 3 4" xfId="9269" xr:uid="{BF917666-ED41-47EF-AE34-DE823B32F0BE}"/>
    <cellStyle name="Currency 5 2 2 2 2 3 5" xfId="17698" xr:uid="{E4A9B1DF-5C37-4405-B46D-8C3064DAFBE1}"/>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45" xr:uid="{E3F49BBB-46C0-45B4-B099-5B259B302611}"/>
    <cellStyle name="Currency 5 2 2 2 2 4 2 2 3" xfId="24473" xr:uid="{C28FA2D3-9E00-439F-B649-F96A3BCF4B6A}"/>
    <cellStyle name="Currency 5 2 2 2 2 4 2 3" xfId="11827" xr:uid="{E1EAF629-F8A6-45B2-A798-70998471BBB9}"/>
    <cellStyle name="Currency 5 2 2 2 2 4 2 4" xfId="20256" xr:uid="{190714C3-E232-4BB5-AB58-2695DF09F9D0}"/>
    <cellStyle name="Currency 5 2 2 2 2 4 3" xfId="5471" xr:uid="{00000000-0005-0000-0000-00008D0B0000}"/>
    <cellStyle name="Currency 5 2 2 2 2 4 3 2" xfId="13900" xr:uid="{A1432270-DBB0-41CA-B90D-E5F57D09FE06}"/>
    <cellStyle name="Currency 5 2 2 2 2 4 3 3" xfId="22328" xr:uid="{698CC080-DEAA-4EE0-918B-0B76AAB1D0B8}"/>
    <cellStyle name="Currency 5 2 2 2 2 4 4" xfId="9682" xr:uid="{4AC9560A-397E-4D45-84DB-4D56765C11BF}"/>
    <cellStyle name="Currency 5 2 2 2 2 4 5" xfId="18111" xr:uid="{1FB0C5E7-62FC-43AC-AAE4-44ED4B8136B4}"/>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8" xr:uid="{4539CADC-ABAA-4E6F-8E3E-6303141CF90E}"/>
    <cellStyle name="Currency 5 2 2 2 2 5 2 2 3" xfId="24886" xr:uid="{9972C200-9024-4D6E-9F34-620F8CD8A8C9}"/>
    <cellStyle name="Currency 5 2 2 2 2 5 2 3" xfId="12240" xr:uid="{78567933-662E-404B-9D80-B88E18040E86}"/>
    <cellStyle name="Currency 5 2 2 2 2 5 2 4" xfId="20669" xr:uid="{54637C12-DA80-4FD4-B8D7-E321E71DD233}"/>
    <cellStyle name="Currency 5 2 2 2 2 5 3" xfId="5884" xr:uid="{00000000-0005-0000-0000-0000910B0000}"/>
    <cellStyle name="Currency 5 2 2 2 2 5 3 2" xfId="14313" xr:uid="{14ED0680-A714-41F0-A9B8-6A400D4CEB33}"/>
    <cellStyle name="Currency 5 2 2 2 2 5 3 3" xfId="22741" xr:uid="{7FBDEAEC-C73F-48ED-A60C-BE0445F629E6}"/>
    <cellStyle name="Currency 5 2 2 2 2 5 4" xfId="10095" xr:uid="{A09F33A5-6A5E-4E9E-AE77-8226C6424741}"/>
    <cellStyle name="Currency 5 2 2 2 2 5 5" xfId="18524" xr:uid="{71F4AA39-7D35-44E0-9A7F-5A7858794CDC}"/>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71" xr:uid="{7161C803-6A1C-4330-8E27-2F1CA250738E}"/>
    <cellStyle name="Currency 5 2 2 2 2 6 2 2 3" xfId="25299" xr:uid="{7AB2CDC4-9D18-4B5A-8587-DF5409B7F313}"/>
    <cellStyle name="Currency 5 2 2 2 2 6 2 3" xfId="12653" xr:uid="{1CDCAC98-0799-4C6F-A2B2-F6438FDB3E8B}"/>
    <cellStyle name="Currency 5 2 2 2 2 6 2 4" xfId="21082" xr:uid="{84719118-B119-454E-A2A3-96D867FBB72E}"/>
    <cellStyle name="Currency 5 2 2 2 2 6 3" xfId="6297" xr:uid="{00000000-0005-0000-0000-0000950B0000}"/>
    <cellStyle name="Currency 5 2 2 2 2 6 3 2" xfId="14726" xr:uid="{8E70D511-971D-475A-81A4-1C28E5896E0D}"/>
    <cellStyle name="Currency 5 2 2 2 2 6 3 3" xfId="23154" xr:uid="{18FE5BC3-AEAF-4FC9-9CAB-515C697469AB}"/>
    <cellStyle name="Currency 5 2 2 2 2 6 4" xfId="10508" xr:uid="{40663F38-BDB2-4743-875F-8BA5564A0606}"/>
    <cellStyle name="Currency 5 2 2 2 2 6 5" xfId="18937" xr:uid="{04E286D5-156E-48D0-A3E9-A15916584A57}"/>
    <cellStyle name="Currency 5 2 2 2 2 7" xfId="2424" xr:uid="{00000000-0005-0000-0000-0000960B0000}"/>
    <cellStyle name="Currency 5 2 2 2 2 7 2" xfId="6710" xr:uid="{00000000-0005-0000-0000-0000970B0000}"/>
    <cellStyle name="Currency 5 2 2 2 2 7 2 2" xfId="15139" xr:uid="{D3362F0E-E40A-43FE-B0DC-1E83A13DA122}"/>
    <cellStyle name="Currency 5 2 2 2 2 7 2 3" xfId="23567" xr:uid="{29C4B7DC-6F5E-4AB0-94C0-557A9D2CF358}"/>
    <cellStyle name="Currency 5 2 2 2 2 7 3" xfId="10921" xr:uid="{69794D48-C989-4AF1-9955-57F2DFC3BA5D}"/>
    <cellStyle name="Currency 5 2 2 2 2 7 4" xfId="19350" xr:uid="{F590489D-DAA3-4692-A139-6D3139B9CCFE}"/>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56" xr:uid="{B8295635-352C-41EE-81DB-C98EA4327C0D}"/>
    <cellStyle name="Currency 5 2 2 2 2 9 2 3" xfId="23884" xr:uid="{10B61371-4185-4882-A6B5-6FD606EB7D48}"/>
    <cellStyle name="Currency 5 2 2 2 2 9 3" xfId="11238" xr:uid="{8A57747E-D35B-4CD7-8BF0-D20ECBCE7529}"/>
    <cellStyle name="Currency 5 2 2 2 2 9 4" xfId="19667" xr:uid="{0EBAE85A-020F-4141-8657-06EEE20DA747}"/>
    <cellStyle name="Currency 5 2 2 2 3" xfId="199" xr:uid="{00000000-0005-0000-0000-00009B0B0000}"/>
    <cellStyle name="Currency 5 2 2 2 3 10" xfId="8857" xr:uid="{A31B689B-0322-4862-A632-4CC739206A4C}"/>
    <cellStyle name="Currency 5 2 2 2 3 11" xfId="17286" xr:uid="{E1F6CE9D-552E-45F3-989B-C9A76E42011F}"/>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34" xr:uid="{2C0AAD86-8AB6-4E3D-9631-6D97F66EBB50}"/>
    <cellStyle name="Currency 5 2 2 2 3 2 2 2 3" xfId="24062" xr:uid="{54B45983-BABD-4286-8024-8ACB46763E06}"/>
    <cellStyle name="Currency 5 2 2 2 3 2 2 3" xfId="11416" xr:uid="{D462BD36-C456-4DF8-BE7A-9C7FCD3F2499}"/>
    <cellStyle name="Currency 5 2 2 2 3 2 2 4" xfId="19845" xr:uid="{8FE73612-D77D-41EE-989E-62C72000313E}"/>
    <cellStyle name="Currency 5 2 2 2 3 2 3" xfId="5060" xr:uid="{00000000-0005-0000-0000-00009F0B0000}"/>
    <cellStyle name="Currency 5 2 2 2 3 2 3 2" xfId="13489" xr:uid="{2EEDC03D-C012-46B8-9EFB-B9C1CC16E638}"/>
    <cellStyle name="Currency 5 2 2 2 3 2 3 3" xfId="21917" xr:uid="{69C46C08-1992-432F-84A4-D395DD4D512D}"/>
    <cellStyle name="Currency 5 2 2 2 3 2 4" xfId="9271" xr:uid="{6D30FDF8-B495-4D11-9921-1B4582B9AD43}"/>
    <cellStyle name="Currency 5 2 2 2 3 2 5" xfId="17700" xr:uid="{7A3EBE29-BC1A-4FC1-9187-6C05A640112F}"/>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7" xr:uid="{A97B5EF5-6424-4E65-90D4-B0F8799FD920}"/>
    <cellStyle name="Currency 5 2 2 2 3 3 2 2 3" xfId="24475" xr:uid="{43E68A0C-BF40-4294-A82B-6D40F7D15C13}"/>
    <cellStyle name="Currency 5 2 2 2 3 3 2 3" xfId="11829" xr:uid="{CC586E9C-9CC3-48D3-9125-6CF1E4B88FD5}"/>
    <cellStyle name="Currency 5 2 2 2 3 3 2 4" xfId="20258" xr:uid="{D23E9B14-8110-41E9-B5FD-13420534D402}"/>
    <cellStyle name="Currency 5 2 2 2 3 3 3" xfId="5473" xr:uid="{00000000-0005-0000-0000-0000A30B0000}"/>
    <cellStyle name="Currency 5 2 2 2 3 3 3 2" xfId="13902" xr:uid="{5AAE1CAD-EFCF-4247-A2FF-2807507C8CD4}"/>
    <cellStyle name="Currency 5 2 2 2 3 3 3 3" xfId="22330" xr:uid="{F7CBE707-A1B4-444B-9B23-CAEB5B3B806B}"/>
    <cellStyle name="Currency 5 2 2 2 3 3 4" xfId="9684" xr:uid="{5CA651D9-458B-447B-AF7C-3F3E633BADEB}"/>
    <cellStyle name="Currency 5 2 2 2 3 3 5" xfId="18113" xr:uid="{8CE07D4E-C3D1-47D6-8EEC-1343EB5C6828}"/>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60" xr:uid="{F90D49C0-ECFE-4D8C-B8A5-BBC7202A65A3}"/>
    <cellStyle name="Currency 5 2 2 2 3 4 2 2 3" xfId="24888" xr:uid="{010F1F28-2AF1-4AA8-BE49-EFEC98F6875D}"/>
    <cellStyle name="Currency 5 2 2 2 3 4 2 3" xfId="12242" xr:uid="{0D0881F7-68FE-4E05-A002-833B258492CA}"/>
    <cellStyle name="Currency 5 2 2 2 3 4 2 4" xfId="20671" xr:uid="{13348244-022D-4776-ABBB-50148834A4FE}"/>
    <cellStyle name="Currency 5 2 2 2 3 4 3" xfId="5886" xr:uid="{00000000-0005-0000-0000-0000A70B0000}"/>
    <cellStyle name="Currency 5 2 2 2 3 4 3 2" xfId="14315" xr:uid="{F20424FB-4B6E-4BC5-9742-22DDAEB1E330}"/>
    <cellStyle name="Currency 5 2 2 2 3 4 3 3" xfId="22743" xr:uid="{37F4AACA-8F8F-4721-A5E0-0AF3D3ECF2A4}"/>
    <cellStyle name="Currency 5 2 2 2 3 4 4" xfId="10097" xr:uid="{65C0B844-991B-4E1D-BC8F-9191EAB0E7A0}"/>
    <cellStyle name="Currency 5 2 2 2 3 4 5" xfId="18526" xr:uid="{907DB6CD-8747-400B-ADB7-06CC2C458031}"/>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73" xr:uid="{671CB3CB-F461-454D-81F5-3754C019A888}"/>
    <cellStyle name="Currency 5 2 2 2 3 5 2 2 3" xfId="25301" xr:uid="{D6FF67CF-11B1-4CE6-BCDC-EF36C1A25464}"/>
    <cellStyle name="Currency 5 2 2 2 3 5 2 3" xfId="12655" xr:uid="{89FF5428-7B8A-49E4-BEAE-E18C1077E0CC}"/>
    <cellStyle name="Currency 5 2 2 2 3 5 2 4" xfId="21084" xr:uid="{3604AB53-3A85-4369-AB57-D267A93BD286}"/>
    <cellStyle name="Currency 5 2 2 2 3 5 3" xfId="6299" xr:uid="{00000000-0005-0000-0000-0000AB0B0000}"/>
    <cellStyle name="Currency 5 2 2 2 3 5 3 2" xfId="14728" xr:uid="{57C2BD0C-494B-4E15-8B14-B230A840FED8}"/>
    <cellStyle name="Currency 5 2 2 2 3 5 3 3" xfId="23156" xr:uid="{5480FFBD-2126-43BB-9DE6-E36471D88E6D}"/>
    <cellStyle name="Currency 5 2 2 2 3 5 4" xfId="10510" xr:uid="{143B7D09-D4C1-460B-ADB3-48C25E32252F}"/>
    <cellStyle name="Currency 5 2 2 2 3 5 5" xfId="18939" xr:uid="{E0A7C563-9771-46EB-9F71-872B360BB354}"/>
    <cellStyle name="Currency 5 2 2 2 3 6" xfId="2426" xr:uid="{00000000-0005-0000-0000-0000AC0B0000}"/>
    <cellStyle name="Currency 5 2 2 2 3 6 2" xfId="6712" xr:uid="{00000000-0005-0000-0000-0000AD0B0000}"/>
    <cellStyle name="Currency 5 2 2 2 3 6 2 2" xfId="15141" xr:uid="{2F3E0A3C-9DE2-4A87-B1CD-AF191D11EB5A}"/>
    <cellStyle name="Currency 5 2 2 2 3 6 2 3" xfId="23569" xr:uid="{A95C83AB-7D25-4982-BB1C-5617E13145E1}"/>
    <cellStyle name="Currency 5 2 2 2 3 6 3" xfId="10923" xr:uid="{3769B2FB-D53A-4E07-B428-7C21FACC16EF}"/>
    <cellStyle name="Currency 5 2 2 2 3 6 4" xfId="19352" xr:uid="{CF95FA59-274E-4AFB-9C31-7C0EE2775755}"/>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8" xr:uid="{49060980-A20B-4EB3-8191-A375E8FF3BE1}"/>
    <cellStyle name="Currency 5 2 2 2 3 8 2 3" xfId="23886" xr:uid="{253C3218-57EB-4444-BD69-008C27B1DCE5}"/>
    <cellStyle name="Currency 5 2 2 2 3 8 3" xfId="11240" xr:uid="{D1CB70F1-6794-4BBE-8884-BFDE0F9897B5}"/>
    <cellStyle name="Currency 5 2 2 2 3 8 4" xfId="19669" xr:uid="{09CD9B9A-80AD-47E8-91DB-F343EC0AD98F}"/>
    <cellStyle name="Currency 5 2 2 2 3 9" xfId="4646" xr:uid="{00000000-0005-0000-0000-0000B10B0000}"/>
    <cellStyle name="Currency 5 2 2 2 3 9 2" xfId="13075" xr:uid="{3E299055-ACEC-436D-9C20-23C9CE52BF04}"/>
    <cellStyle name="Currency 5 2 2 2 3 9 3" xfId="21503" xr:uid="{3DD71A5B-C82F-4D48-99AE-63C373AEEF65}"/>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31" xr:uid="{7558FA8D-638D-4838-9F63-97352F596DBB}"/>
    <cellStyle name="Currency 5 2 2 2 4 2 2 3" xfId="24059" xr:uid="{F42789A3-C3C9-49DE-82E4-89E2F159702B}"/>
    <cellStyle name="Currency 5 2 2 2 4 2 3" xfId="11413" xr:uid="{534361D2-AC4E-4AF7-809D-BAF0502A991D}"/>
    <cellStyle name="Currency 5 2 2 2 4 2 4" xfId="19842" xr:uid="{6D6B0051-990F-4E40-8AFA-AEA347C7B34F}"/>
    <cellStyle name="Currency 5 2 2 2 4 3" xfId="5057" xr:uid="{00000000-0005-0000-0000-0000B50B0000}"/>
    <cellStyle name="Currency 5 2 2 2 4 3 2" xfId="13486" xr:uid="{403D39E6-2B7A-4E01-96AB-75105A88C21E}"/>
    <cellStyle name="Currency 5 2 2 2 4 3 3" xfId="21914" xr:uid="{45013D95-8C54-4E5F-AEB3-C1FA943EBB48}"/>
    <cellStyle name="Currency 5 2 2 2 4 4" xfId="9268" xr:uid="{94F4B686-6D66-4C1E-A8BC-8816D2775BAE}"/>
    <cellStyle name="Currency 5 2 2 2 4 5" xfId="17697" xr:uid="{F202DF0D-FAB1-4EC6-A93E-B4298E34B156}"/>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44" xr:uid="{9198E7DB-93A8-4A3A-9CDB-4984C2CA68DE}"/>
    <cellStyle name="Currency 5 2 2 2 5 2 2 3" xfId="24472" xr:uid="{32F8422A-CEB4-4A84-A344-953BAD104748}"/>
    <cellStyle name="Currency 5 2 2 2 5 2 3" xfId="11826" xr:uid="{2A4A73E1-884B-4862-AC94-990CF6D336ED}"/>
    <cellStyle name="Currency 5 2 2 2 5 2 4" xfId="20255" xr:uid="{39DF27BE-B73F-40F1-B853-E8B7EC6E957E}"/>
    <cellStyle name="Currency 5 2 2 2 5 3" xfId="5470" xr:uid="{00000000-0005-0000-0000-0000B90B0000}"/>
    <cellStyle name="Currency 5 2 2 2 5 3 2" xfId="13899" xr:uid="{758493EF-790D-4A4F-BD1D-F4A89B98C96C}"/>
    <cellStyle name="Currency 5 2 2 2 5 3 3" xfId="22327" xr:uid="{6F8C8BD1-72F7-4F7C-AC41-D44445F19D52}"/>
    <cellStyle name="Currency 5 2 2 2 5 4" xfId="9681" xr:uid="{811E2E5E-50B1-4762-844A-73F738806334}"/>
    <cellStyle name="Currency 5 2 2 2 5 5" xfId="18110" xr:uid="{8A23E638-0FC0-4ACE-9B64-43C5430C7FB4}"/>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7" xr:uid="{A53866C8-3539-4206-A781-C04F2463C25B}"/>
    <cellStyle name="Currency 5 2 2 2 6 2 2 3" xfId="24885" xr:uid="{6D19B9A9-9A57-4C28-9C80-912B014AB382}"/>
    <cellStyle name="Currency 5 2 2 2 6 2 3" xfId="12239" xr:uid="{95BDA776-68BF-4CB8-95FB-2023384D8C88}"/>
    <cellStyle name="Currency 5 2 2 2 6 2 4" xfId="20668" xr:uid="{4487648C-96BF-4789-9492-6A6D60B05210}"/>
    <cellStyle name="Currency 5 2 2 2 6 3" xfId="5883" xr:uid="{00000000-0005-0000-0000-0000BD0B0000}"/>
    <cellStyle name="Currency 5 2 2 2 6 3 2" xfId="14312" xr:uid="{1E54E9D6-ABD1-4935-9AC6-A3AF87B4F479}"/>
    <cellStyle name="Currency 5 2 2 2 6 3 3" xfId="22740" xr:uid="{46DE5A46-C773-43D7-AA80-93B13FFC9D97}"/>
    <cellStyle name="Currency 5 2 2 2 6 4" xfId="10094" xr:uid="{664195B6-2168-4A59-AB9A-5D0DF14B6042}"/>
    <cellStyle name="Currency 5 2 2 2 6 5" xfId="18523" xr:uid="{ADA0BADA-9E0F-4DB2-874C-25EE31A25B05}"/>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70" xr:uid="{8F9C5750-01EA-424D-A9F5-FAAB06FAD4A2}"/>
    <cellStyle name="Currency 5 2 2 2 7 2 2 3" xfId="25298" xr:uid="{A491DEB1-2800-4092-8713-D66AE88FF494}"/>
    <cellStyle name="Currency 5 2 2 2 7 2 3" xfId="12652" xr:uid="{CA074BF7-CAFA-4C81-BBEB-37645014F615}"/>
    <cellStyle name="Currency 5 2 2 2 7 2 4" xfId="21081" xr:uid="{6FA3DF2F-27D0-48DB-9447-DA70867E8B8E}"/>
    <cellStyle name="Currency 5 2 2 2 7 3" xfId="6296" xr:uid="{00000000-0005-0000-0000-0000C10B0000}"/>
    <cellStyle name="Currency 5 2 2 2 7 3 2" xfId="14725" xr:uid="{6C0D6DAF-4C7E-4F05-B9EA-1B585DDBB086}"/>
    <cellStyle name="Currency 5 2 2 2 7 3 3" xfId="23153" xr:uid="{1E15F84A-3D5B-4FD7-B7BA-3CFDCBDAA228}"/>
    <cellStyle name="Currency 5 2 2 2 7 4" xfId="10507" xr:uid="{555736D7-A06C-4902-B0FE-1DF896909228}"/>
    <cellStyle name="Currency 5 2 2 2 7 5" xfId="18936" xr:uid="{C3092F3C-5DE7-4849-9FF6-20D51594E56D}"/>
    <cellStyle name="Currency 5 2 2 2 8" xfId="2423" xr:uid="{00000000-0005-0000-0000-0000C20B0000}"/>
    <cellStyle name="Currency 5 2 2 2 8 2" xfId="6709" xr:uid="{00000000-0005-0000-0000-0000C30B0000}"/>
    <cellStyle name="Currency 5 2 2 2 8 2 2" xfId="15138" xr:uid="{80E0613C-F0AC-464A-9E1E-4AED44FE558F}"/>
    <cellStyle name="Currency 5 2 2 2 8 2 3" xfId="23566" xr:uid="{71064BCE-AF7F-472C-BB1B-E4DCCB3833C4}"/>
    <cellStyle name="Currency 5 2 2 2 8 3" xfId="10920" xr:uid="{01047053-2E10-4946-B689-1C77E8ED5C08}"/>
    <cellStyle name="Currency 5 2 2 2 8 4" xfId="19349" xr:uid="{1E5ED50A-0851-47D1-AA10-193CAA102B21}"/>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76" xr:uid="{010DBCF3-53C4-4072-AD54-B31513A1B2AB}"/>
    <cellStyle name="Currency 5 2 2 3 10 3" xfId="21504" xr:uid="{9F429117-326B-4774-9EA6-8EC2F92696EC}"/>
    <cellStyle name="Currency 5 2 2 3 11" xfId="8858" xr:uid="{2BC7F24C-470C-4CEC-AAA6-F6761344CC5C}"/>
    <cellStyle name="Currency 5 2 2 3 12" xfId="17287" xr:uid="{8F7690C8-6DCD-4945-8B1B-FB96C2AFBE61}"/>
    <cellStyle name="Currency 5 2 2 3 2" xfId="201" xr:uid="{00000000-0005-0000-0000-0000C70B0000}"/>
    <cellStyle name="Currency 5 2 2 3 2 10" xfId="8859" xr:uid="{5BF41AF8-240A-4AB4-9E4E-912585CF6E5E}"/>
    <cellStyle name="Currency 5 2 2 3 2 11" xfId="17288" xr:uid="{4581FCBA-431D-464C-BDF0-74252B1DA7BC}"/>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36" xr:uid="{5F3705AA-B4CB-4E34-8EED-0EA803007F71}"/>
    <cellStyle name="Currency 5 2 2 3 2 2 2 2 3" xfId="24064" xr:uid="{9ED17468-E02E-409E-9267-68B026B94894}"/>
    <cellStyle name="Currency 5 2 2 3 2 2 2 3" xfId="11418" xr:uid="{B1C455B9-5C7F-4B31-97DA-9E63B955ED06}"/>
    <cellStyle name="Currency 5 2 2 3 2 2 2 4" xfId="19847" xr:uid="{3ED89DD4-BC71-4773-BD20-345CB948ABCA}"/>
    <cellStyle name="Currency 5 2 2 3 2 2 3" xfId="5062" xr:uid="{00000000-0005-0000-0000-0000CB0B0000}"/>
    <cellStyle name="Currency 5 2 2 3 2 2 3 2" xfId="13491" xr:uid="{DD0748A4-F39C-49A3-A31D-7757E97FC415}"/>
    <cellStyle name="Currency 5 2 2 3 2 2 3 3" xfId="21919" xr:uid="{5F507737-CB90-48EA-96BF-FDD6AEB43235}"/>
    <cellStyle name="Currency 5 2 2 3 2 2 4" xfId="9273" xr:uid="{DB0E11FC-4D4E-4CD0-8FFF-2B3F2E844212}"/>
    <cellStyle name="Currency 5 2 2 3 2 2 5" xfId="17702" xr:uid="{DEF23BAD-4749-4109-8369-FC3140CCD7BF}"/>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9" xr:uid="{B8298552-AEC8-4FC1-918E-59745C282319}"/>
    <cellStyle name="Currency 5 2 2 3 2 3 2 2 3" xfId="24477" xr:uid="{7A66D411-A9E1-4F36-AACC-F4FF9E74A261}"/>
    <cellStyle name="Currency 5 2 2 3 2 3 2 3" xfId="11831" xr:uid="{02915A5A-34CA-4D02-8E64-FD0128C1B435}"/>
    <cellStyle name="Currency 5 2 2 3 2 3 2 4" xfId="20260" xr:uid="{458E06D3-1FA3-4DE2-A150-6D5DC7242886}"/>
    <cellStyle name="Currency 5 2 2 3 2 3 3" xfId="5475" xr:uid="{00000000-0005-0000-0000-0000CF0B0000}"/>
    <cellStyle name="Currency 5 2 2 3 2 3 3 2" xfId="13904" xr:uid="{872854E8-2CA5-43BC-AA84-A9FACE229412}"/>
    <cellStyle name="Currency 5 2 2 3 2 3 3 3" xfId="22332" xr:uid="{0EA94BD3-12D6-4607-A785-7FF3F26833DD}"/>
    <cellStyle name="Currency 5 2 2 3 2 3 4" xfId="9686" xr:uid="{B29C5DB7-8F34-41A7-ACFE-7FE94253A548}"/>
    <cellStyle name="Currency 5 2 2 3 2 3 5" xfId="18115" xr:uid="{74D5FCD7-3B71-4088-AEF9-4454AE119C04}"/>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62" xr:uid="{620BC0C2-ABA8-4CB2-BC3D-4D5B9526CA61}"/>
    <cellStyle name="Currency 5 2 2 3 2 4 2 2 3" xfId="24890" xr:uid="{E1F0870D-9233-4141-A6DA-DC0D65FE906A}"/>
    <cellStyle name="Currency 5 2 2 3 2 4 2 3" xfId="12244" xr:uid="{376E0644-C93D-41B0-892C-17CD6EF432B1}"/>
    <cellStyle name="Currency 5 2 2 3 2 4 2 4" xfId="20673" xr:uid="{FD9AFC73-49AF-46CA-B8DB-2E4460531198}"/>
    <cellStyle name="Currency 5 2 2 3 2 4 3" xfId="5888" xr:uid="{00000000-0005-0000-0000-0000D30B0000}"/>
    <cellStyle name="Currency 5 2 2 3 2 4 3 2" xfId="14317" xr:uid="{6113F0D5-4F7B-4D47-8351-FFC9F08473C5}"/>
    <cellStyle name="Currency 5 2 2 3 2 4 3 3" xfId="22745" xr:uid="{53D405AD-2616-4D5C-82CA-68E397052C69}"/>
    <cellStyle name="Currency 5 2 2 3 2 4 4" xfId="10099" xr:uid="{A4D00150-53D8-457F-A3A1-F38735F00E07}"/>
    <cellStyle name="Currency 5 2 2 3 2 4 5" xfId="18528" xr:uid="{423848C3-9551-4FCB-BF09-01137015C0D6}"/>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75" xr:uid="{6A52318E-5B28-4AF9-AABE-9341335A98F0}"/>
    <cellStyle name="Currency 5 2 2 3 2 5 2 2 3" xfId="25303" xr:uid="{6AAB6C70-5464-4E36-944E-5D290078417D}"/>
    <cellStyle name="Currency 5 2 2 3 2 5 2 3" xfId="12657" xr:uid="{77E4B2BE-29C2-4215-A752-8D5D83083145}"/>
    <cellStyle name="Currency 5 2 2 3 2 5 2 4" xfId="21086" xr:uid="{627E237E-EA80-4955-8B8B-30985C9DE95F}"/>
    <cellStyle name="Currency 5 2 2 3 2 5 3" xfId="6301" xr:uid="{00000000-0005-0000-0000-0000D70B0000}"/>
    <cellStyle name="Currency 5 2 2 3 2 5 3 2" xfId="14730" xr:uid="{CC805C95-C272-4787-8417-4BE68882E8F2}"/>
    <cellStyle name="Currency 5 2 2 3 2 5 3 3" xfId="23158" xr:uid="{37C82150-7D2B-4B77-8AD8-B62E976206FA}"/>
    <cellStyle name="Currency 5 2 2 3 2 5 4" xfId="10512" xr:uid="{B98F5AE5-A007-464B-8DBA-156D92910695}"/>
    <cellStyle name="Currency 5 2 2 3 2 5 5" xfId="18941" xr:uid="{BB627ADC-5C49-44B8-9771-CE098579CC32}"/>
    <cellStyle name="Currency 5 2 2 3 2 6" xfId="2428" xr:uid="{00000000-0005-0000-0000-0000D80B0000}"/>
    <cellStyle name="Currency 5 2 2 3 2 6 2" xfId="6714" xr:uid="{00000000-0005-0000-0000-0000D90B0000}"/>
    <cellStyle name="Currency 5 2 2 3 2 6 2 2" xfId="15143" xr:uid="{65BF5DB4-A966-4593-B70D-05962DC6837C}"/>
    <cellStyle name="Currency 5 2 2 3 2 6 2 3" xfId="23571" xr:uid="{5832C483-65BD-4987-900C-C039B8484041}"/>
    <cellStyle name="Currency 5 2 2 3 2 6 3" xfId="10925" xr:uid="{3A570605-7D2F-44C5-9947-D1E32C9B70F3}"/>
    <cellStyle name="Currency 5 2 2 3 2 6 4" xfId="19354" xr:uid="{AEB15E2A-22D6-4845-B51F-58868D25A85D}"/>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60" xr:uid="{E058934F-9B79-470C-9F91-11CE56DBE32D}"/>
    <cellStyle name="Currency 5 2 2 3 2 8 2 3" xfId="23888" xr:uid="{E79A4DD4-9CC2-47FB-93A1-D495ED80F470}"/>
    <cellStyle name="Currency 5 2 2 3 2 8 3" xfId="11242" xr:uid="{E8D01D2C-857D-42B8-B785-4843995FE081}"/>
    <cellStyle name="Currency 5 2 2 3 2 8 4" xfId="19671" xr:uid="{5FA634FC-9F77-475C-87CE-464E04CDE2A0}"/>
    <cellStyle name="Currency 5 2 2 3 2 9" xfId="4648" xr:uid="{00000000-0005-0000-0000-0000DD0B0000}"/>
    <cellStyle name="Currency 5 2 2 3 2 9 2" xfId="13077" xr:uid="{A785B353-A72F-4F2C-B2EF-6E5B363A5AB4}"/>
    <cellStyle name="Currency 5 2 2 3 2 9 3" xfId="21505" xr:uid="{BFFD6200-6D8E-4111-A27E-F56FE3D71B51}"/>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35" xr:uid="{A716B8B0-FB9E-472D-9CC3-3A90A408D7C0}"/>
    <cellStyle name="Currency 5 2 2 3 3 2 2 3" xfId="24063" xr:uid="{10ED757A-C795-476F-8E6A-1FFDDB62A34D}"/>
    <cellStyle name="Currency 5 2 2 3 3 2 3" xfId="11417" xr:uid="{2AC945D3-F6EA-4A90-A636-7BE583821B43}"/>
    <cellStyle name="Currency 5 2 2 3 3 2 4" xfId="19846" xr:uid="{64AF877E-39CB-4E1A-A44F-5F078D0FD2D7}"/>
    <cellStyle name="Currency 5 2 2 3 3 3" xfId="5061" xr:uid="{00000000-0005-0000-0000-0000E10B0000}"/>
    <cellStyle name="Currency 5 2 2 3 3 3 2" xfId="13490" xr:uid="{1CF8DE93-A03B-4065-85CC-0FB8C40E8572}"/>
    <cellStyle name="Currency 5 2 2 3 3 3 3" xfId="21918" xr:uid="{E3F349AC-F3D5-40EA-B9B3-EA43A17E2477}"/>
    <cellStyle name="Currency 5 2 2 3 3 4" xfId="9272" xr:uid="{FD800101-E035-4B22-A326-081E5BADB413}"/>
    <cellStyle name="Currency 5 2 2 3 3 5" xfId="17701" xr:uid="{7F5C7A4F-C808-47F6-BF97-99EE3075FE62}"/>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8" xr:uid="{7DFF6796-B920-4CCE-9600-5D793762ACCA}"/>
    <cellStyle name="Currency 5 2 2 3 4 2 2 3" xfId="24476" xr:uid="{9278AB57-678D-4796-916D-24A4079AAF3B}"/>
    <cellStyle name="Currency 5 2 2 3 4 2 3" xfId="11830" xr:uid="{1DB1BD48-E237-45D9-BFA0-607BD387CE55}"/>
    <cellStyle name="Currency 5 2 2 3 4 2 4" xfId="20259" xr:uid="{E2C941C7-2578-4B25-B6FD-995D6C59507F}"/>
    <cellStyle name="Currency 5 2 2 3 4 3" xfId="5474" xr:uid="{00000000-0005-0000-0000-0000E50B0000}"/>
    <cellStyle name="Currency 5 2 2 3 4 3 2" xfId="13903" xr:uid="{77A348E8-CF38-4FF2-AC37-C1A0409A4A98}"/>
    <cellStyle name="Currency 5 2 2 3 4 3 3" xfId="22331" xr:uid="{1763E401-39A3-409E-BAF2-90CCF29CF21D}"/>
    <cellStyle name="Currency 5 2 2 3 4 4" xfId="9685" xr:uid="{50ECBEA1-BB0D-4041-BA4B-4F3A46111F98}"/>
    <cellStyle name="Currency 5 2 2 3 4 5" xfId="18114" xr:uid="{D196E711-BD17-4BB5-BB3A-EF620BC4C78F}"/>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61" xr:uid="{C3C2BF1E-06B0-465D-835E-ED6B5D42D96D}"/>
    <cellStyle name="Currency 5 2 2 3 5 2 2 3" xfId="24889" xr:uid="{F9EBA490-1661-4DD2-9B24-8F1F0CF1835F}"/>
    <cellStyle name="Currency 5 2 2 3 5 2 3" xfId="12243" xr:uid="{35CA733D-CB19-4A7F-9386-26749B7C766F}"/>
    <cellStyle name="Currency 5 2 2 3 5 2 4" xfId="20672" xr:uid="{FF9C2C6D-F56C-4A99-938D-0E05AC0FCC7F}"/>
    <cellStyle name="Currency 5 2 2 3 5 3" xfId="5887" xr:uid="{00000000-0005-0000-0000-0000E90B0000}"/>
    <cellStyle name="Currency 5 2 2 3 5 3 2" xfId="14316" xr:uid="{89D5CBBD-20CC-462D-A3A8-F814A2CFA714}"/>
    <cellStyle name="Currency 5 2 2 3 5 3 3" xfId="22744" xr:uid="{DC9E946B-A342-4D4F-8A3F-F3F38CD5478E}"/>
    <cellStyle name="Currency 5 2 2 3 5 4" xfId="10098" xr:uid="{487FB058-F54D-4EDF-B9B0-C7DF3A8988BF}"/>
    <cellStyle name="Currency 5 2 2 3 5 5" xfId="18527" xr:uid="{61A00527-49D4-40E3-8EF1-501729A6BA26}"/>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74" xr:uid="{DC96FC6A-30AF-4F1C-AAD1-657419A8CB97}"/>
    <cellStyle name="Currency 5 2 2 3 6 2 2 3" xfId="25302" xr:uid="{9D14B27A-6F72-40C9-84EB-CB1E155AF1B4}"/>
    <cellStyle name="Currency 5 2 2 3 6 2 3" xfId="12656" xr:uid="{1BFC56F5-8A18-4DF6-BEA2-498C9520D2C1}"/>
    <cellStyle name="Currency 5 2 2 3 6 2 4" xfId="21085" xr:uid="{46F49C32-844B-4A24-A562-D928EC66E576}"/>
    <cellStyle name="Currency 5 2 2 3 6 3" xfId="6300" xr:uid="{00000000-0005-0000-0000-0000ED0B0000}"/>
    <cellStyle name="Currency 5 2 2 3 6 3 2" xfId="14729" xr:uid="{84454599-6CAC-4A49-BDA1-83689032FE44}"/>
    <cellStyle name="Currency 5 2 2 3 6 3 3" xfId="23157" xr:uid="{150C63C4-84A5-4837-941C-D24F33D4377F}"/>
    <cellStyle name="Currency 5 2 2 3 6 4" xfId="10511" xr:uid="{9902FDB5-4D47-401A-9F50-1F9B8F807365}"/>
    <cellStyle name="Currency 5 2 2 3 6 5" xfId="18940" xr:uid="{8673379D-8D8A-4AAC-A0A8-F1E8126624B7}"/>
    <cellStyle name="Currency 5 2 2 3 7" xfId="2427" xr:uid="{00000000-0005-0000-0000-0000EE0B0000}"/>
    <cellStyle name="Currency 5 2 2 3 7 2" xfId="6713" xr:uid="{00000000-0005-0000-0000-0000EF0B0000}"/>
    <cellStyle name="Currency 5 2 2 3 7 2 2" xfId="15142" xr:uid="{67A5A7EB-DB35-4160-BC4F-D61BF571276C}"/>
    <cellStyle name="Currency 5 2 2 3 7 2 3" xfId="23570" xr:uid="{C47291E9-91FF-499A-9FD8-8E7C437896E1}"/>
    <cellStyle name="Currency 5 2 2 3 7 3" xfId="10924" xr:uid="{40B4DDA6-50F9-4E08-868C-B27A1AAB4DD6}"/>
    <cellStyle name="Currency 5 2 2 3 7 4" xfId="19353" xr:uid="{BC2CF3A1-7515-4015-B73D-4081E9FB6C2E}"/>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9" xr:uid="{64D99DDE-2995-4FA2-B22E-E7D3CE7AB519}"/>
    <cellStyle name="Currency 5 2 2 3 9 2 3" xfId="23887" xr:uid="{2C4ED1DC-AD73-41F1-B23F-7F2EC37378A4}"/>
    <cellStyle name="Currency 5 2 2 3 9 3" xfId="11241" xr:uid="{26A8DB7C-C7BC-4597-A741-45C6412916A9}"/>
    <cellStyle name="Currency 5 2 2 3 9 4" xfId="19670" xr:uid="{0F7E7F69-EBEC-4921-BD29-73A4101349A9}"/>
    <cellStyle name="Currency 5 2 2 4" xfId="202" xr:uid="{00000000-0005-0000-0000-0000F30B0000}"/>
    <cellStyle name="Currency 5 2 2 4 10" xfId="8860" xr:uid="{34CA17B2-BAE4-4AE1-BFAC-FE9A9289B768}"/>
    <cellStyle name="Currency 5 2 2 4 11" xfId="17289" xr:uid="{97A2BC98-CD63-4A9C-AAFC-36590B02DA5F}"/>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7" xr:uid="{D229BAB9-B970-48CC-85A6-B9B5E93A0EB7}"/>
    <cellStyle name="Currency 5 2 2 4 2 2 2 3" xfId="24065" xr:uid="{49C1C380-760C-4465-8289-F486148F1FB5}"/>
    <cellStyle name="Currency 5 2 2 4 2 2 3" xfId="11419" xr:uid="{BF923BE9-9F17-4560-89CD-0A2B337FAE53}"/>
    <cellStyle name="Currency 5 2 2 4 2 2 4" xfId="19848" xr:uid="{935D38DF-63B5-48D5-B1B9-806E75A58340}"/>
    <cellStyle name="Currency 5 2 2 4 2 3" xfId="5063" xr:uid="{00000000-0005-0000-0000-0000F70B0000}"/>
    <cellStyle name="Currency 5 2 2 4 2 3 2" xfId="13492" xr:uid="{2F041831-FB8F-426A-B9AC-2FC6EBFCA376}"/>
    <cellStyle name="Currency 5 2 2 4 2 3 3" xfId="21920" xr:uid="{9A36E851-4549-4C42-9CE5-2B12BDDC29AC}"/>
    <cellStyle name="Currency 5 2 2 4 2 4" xfId="9274" xr:uid="{FFBD5D60-8487-47A3-93F8-FB4112EA8268}"/>
    <cellStyle name="Currency 5 2 2 4 2 5" xfId="17703" xr:uid="{0F186E1A-23CB-4AF0-B28D-D9134B6FF924}"/>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50" xr:uid="{6DFF6ECB-46D8-4565-B232-6C2602E4A992}"/>
    <cellStyle name="Currency 5 2 2 4 3 2 2 3" xfId="24478" xr:uid="{CB8EC4F9-BAE0-4D35-AF58-A9953AFA4AFE}"/>
    <cellStyle name="Currency 5 2 2 4 3 2 3" xfId="11832" xr:uid="{BE9A42AA-4691-45F7-A5C6-E442CF69ED7E}"/>
    <cellStyle name="Currency 5 2 2 4 3 2 4" xfId="20261" xr:uid="{B627677E-A664-43BF-8CC6-96926B80B8D8}"/>
    <cellStyle name="Currency 5 2 2 4 3 3" xfId="5476" xr:uid="{00000000-0005-0000-0000-0000FB0B0000}"/>
    <cellStyle name="Currency 5 2 2 4 3 3 2" xfId="13905" xr:uid="{95415CEA-012E-437C-8941-19DDD7C6CEA0}"/>
    <cellStyle name="Currency 5 2 2 4 3 3 3" xfId="22333" xr:uid="{B6F387C1-DD2D-40BE-BEDC-7839E7370D7A}"/>
    <cellStyle name="Currency 5 2 2 4 3 4" xfId="9687" xr:uid="{567BAB69-D1FA-4028-8D64-14E702184C23}"/>
    <cellStyle name="Currency 5 2 2 4 3 5" xfId="18116" xr:uid="{6EFFA114-C8C7-48B8-817C-64E1CDBE7E96}"/>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63" xr:uid="{25607BA9-33FB-4E85-AE88-3D3E4D7756ED}"/>
    <cellStyle name="Currency 5 2 2 4 4 2 2 3" xfId="24891" xr:uid="{D60A349E-5F68-4323-9CE1-8BFC0DE9DDC0}"/>
    <cellStyle name="Currency 5 2 2 4 4 2 3" xfId="12245" xr:uid="{91506E2C-5148-466A-9385-565BD355FBD3}"/>
    <cellStyle name="Currency 5 2 2 4 4 2 4" xfId="20674" xr:uid="{6F6FE580-F705-4762-83E8-E08D5B631E5C}"/>
    <cellStyle name="Currency 5 2 2 4 4 3" xfId="5889" xr:uid="{00000000-0005-0000-0000-0000FF0B0000}"/>
    <cellStyle name="Currency 5 2 2 4 4 3 2" xfId="14318" xr:uid="{FB9235E5-A204-4C37-B8DB-06B19A65607D}"/>
    <cellStyle name="Currency 5 2 2 4 4 3 3" xfId="22746" xr:uid="{D5B1A14F-5914-48CF-9D48-105C88C3EE68}"/>
    <cellStyle name="Currency 5 2 2 4 4 4" xfId="10100" xr:uid="{6AACD768-A45C-4F06-A4DA-4D96CAB47399}"/>
    <cellStyle name="Currency 5 2 2 4 4 5" xfId="18529" xr:uid="{D021A5F2-DDDC-487E-9C41-F6FDE2C41C15}"/>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76" xr:uid="{3AC34CF4-97D3-4D93-8FFF-3B1DD9AF75DD}"/>
    <cellStyle name="Currency 5 2 2 4 5 2 2 3" xfId="25304" xr:uid="{409746BD-1D1F-49EF-ACDA-7E06AF97C75F}"/>
    <cellStyle name="Currency 5 2 2 4 5 2 3" xfId="12658" xr:uid="{B3886C11-38AB-457F-A3A4-8D07C7C93A08}"/>
    <cellStyle name="Currency 5 2 2 4 5 2 4" xfId="21087" xr:uid="{B325C231-6B0D-4763-A8D4-15AC3196757D}"/>
    <cellStyle name="Currency 5 2 2 4 5 3" xfId="6302" xr:uid="{00000000-0005-0000-0000-0000030C0000}"/>
    <cellStyle name="Currency 5 2 2 4 5 3 2" xfId="14731" xr:uid="{0518BEE8-30E4-403A-8DBB-D466AE778ECF}"/>
    <cellStyle name="Currency 5 2 2 4 5 3 3" xfId="23159" xr:uid="{26F949D3-F3FF-4EEB-8E90-72593558BA5F}"/>
    <cellStyle name="Currency 5 2 2 4 5 4" xfId="10513" xr:uid="{B29ACFD8-E4D4-4F93-BEB0-D738BFC1D788}"/>
    <cellStyle name="Currency 5 2 2 4 5 5" xfId="18942" xr:uid="{151986A0-8B7D-4A0F-B42C-396790DA0534}"/>
    <cellStyle name="Currency 5 2 2 4 6" xfId="2429" xr:uid="{00000000-0005-0000-0000-0000040C0000}"/>
    <cellStyle name="Currency 5 2 2 4 6 2" xfId="6715" xr:uid="{00000000-0005-0000-0000-0000050C0000}"/>
    <cellStyle name="Currency 5 2 2 4 6 2 2" xfId="15144" xr:uid="{4590D465-086A-400F-807C-1A61F376D19E}"/>
    <cellStyle name="Currency 5 2 2 4 6 2 3" xfId="23572" xr:uid="{22EA544C-E38D-451B-BDCB-89FC3FEACD73}"/>
    <cellStyle name="Currency 5 2 2 4 6 3" xfId="10926" xr:uid="{1FA216FD-C971-4CE1-997E-5E9A67A9332B}"/>
    <cellStyle name="Currency 5 2 2 4 6 4" xfId="19355" xr:uid="{880A4878-E3B2-408E-9137-D814B641FD8E}"/>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61" xr:uid="{85A0DA37-76B0-434A-8750-3481DA83E87F}"/>
    <cellStyle name="Currency 5 2 2 4 8 2 3" xfId="23889" xr:uid="{DE390047-8DCB-46A3-BC3B-5FBCA6A4C214}"/>
    <cellStyle name="Currency 5 2 2 4 8 3" xfId="11243" xr:uid="{0B0E8E57-1E7D-4AE7-87FE-99F7F891393F}"/>
    <cellStyle name="Currency 5 2 2 4 8 4" xfId="19672" xr:uid="{87C29053-5185-4BBD-B546-0DC7EC992529}"/>
    <cellStyle name="Currency 5 2 2 4 9" xfId="4649" xr:uid="{00000000-0005-0000-0000-0000090C0000}"/>
    <cellStyle name="Currency 5 2 2 4 9 2" xfId="13078" xr:uid="{7E7B2576-FF88-4BBD-902C-FCFBABB3F85E}"/>
    <cellStyle name="Currency 5 2 2 4 9 3" xfId="21506" xr:uid="{135C3B1F-3172-4935-BA53-391C5CD3418C}"/>
    <cellStyle name="Currency 5 2 2 5" xfId="203" xr:uid="{00000000-0005-0000-0000-00000A0C0000}"/>
    <cellStyle name="Currency 5 2 2 5 10" xfId="8861" xr:uid="{FFFEB85A-068B-400E-A299-843B711A3165}"/>
    <cellStyle name="Currency 5 2 2 5 11" xfId="17290" xr:uid="{11EFCF41-911D-414E-BBC4-84775B195A73}"/>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8" xr:uid="{A40AA2C5-1954-4108-A929-ED92D0ECEEB1}"/>
    <cellStyle name="Currency 5 2 2 5 2 2 2 3" xfId="24066" xr:uid="{A4CAF686-A022-4066-A696-66855E4320DE}"/>
    <cellStyle name="Currency 5 2 2 5 2 2 3" xfId="11420" xr:uid="{433C9E15-5031-462B-A63B-7A9BBCBF163E}"/>
    <cellStyle name="Currency 5 2 2 5 2 2 4" xfId="19849" xr:uid="{891773D3-48FC-4AE6-8993-BCC551262A20}"/>
    <cellStyle name="Currency 5 2 2 5 2 3" xfId="5064" xr:uid="{00000000-0005-0000-0000-00000E0C0000}"/>
    <cellStyle name="Currency 5 2 2 5 2 3 2" xfId="13493" xr:uid="{02405561-3B89-480C-8214-12700C8ADF21}"/>
    <cellStyle name="Currency 5 2 2 5 2 3 3" xfId="21921" xr:uid="{9ADA23AC-2D1B-4459-A610-84AAB8757D6C}"/>
    <cellStyle name="Currency 5 2 2 5 2 4" xfId="9275" xr:uid="{61C29805-7C71-4205-819F-3E462370C5BC}"/>
    <cellStyle name="Currency 5 2 2 5 2 5" xfId="17704" xr:uid="{96753AC4-EE0D-49F8-A43B-DC3DFF14E158}"/>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51" xr:uid="{BC4A9723-9D85-46D4-9C22-180AD5F21317}"/>
    <cellStyle name="Currency 5 2 2 5 3 2 2 3" xfId="24479" xr:uid="{75447CFC-B647-4A14-9B92-BD6A80C4F737}"/>
    <cellStyle name="Currency 5 2 2 5 3 2 3" xfId="11833" xr:uid="{6B7479E5-834B-42AB-9880-E60E36EFFF67}"/>
    <cellStyle name="Currency 5 2 2 5 3 2 4" xfId="20262" xr:uid="{19FEE4BB-C0A8-46DD-8D92-262F046998A7}"/>
    <cellStyle name="Currency 5 2 2 5 3 3" xfId="5477" xr:uid="{00000000-0005-0000-0000-0000120C0000}"/>
    <cellStyle name="Currency 5 2 2 5 3 3 2" xfId="13906" xr:uid="{7F6FE953-DC04-4A46-B0FF-48A2D10F6F9B}"/>
    <cellStyle name="Currency 5 2 2 5 3 3 3" xfId="22334" xr:uid="{7DF998D9-F1DC-48AD-A7FA-B74EB0647934}"/>
    <cellStyle name="Currency 5 2 2 5 3 4" xfId="9688" xr:uid="{D3877321-7F9D-4D11-9A30-818ADAB275D2}"/>
    <cellStyle name="Currency 5 2 2 5 3 5" xfId="18117" xr:uid="{A413F85B-C0ED-4406-B289-7FA1CEA0A108}"/>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64" xr:uid="{60D4D045-E62D-4F03-80B8-B9D92B4F6119}"/>
    <cellStyle name="Currency 5 2 2 5 4 2 2 3" xfId="24892" xr:uid="{C8BA4209-C62F-44EF-A602-B517DE0023CA}"/>
    <cellStyle name="Currency 5 2 2 5 4 2 3" xfId="12246" xr:uid="{C6672224-632E-4EF8-9CE9-8F07CF36080A}"/>
    <cellStyle name="Currency 5 2 2 5 4 2 4" xfId="20675" xr:uid="{F891F569-31F0-4B5F-9436-43CEF3A36A38}"/>
    <cellStyle name="Currency 5 2 2 5 4 3" xfId="5890" xr:uid="{00000000-0005-0000-0000-0000160C0000}"/>
    <cellStyle name="Currency 5 2 2 5 4 3 2" xfId="14319" xr:uid="{18EDA8A1-45D6-42A1-8E64-6BB7EEB41FB4}"/>
    <cellStyle name="Currency 5 2 2 5 4 3 3" xfId="22747" xr:uid="{D612737F-B548-43AD-A0F7-BEDA370036C0}"/>
    <cellStyle name="Currency 5 2 2 5 4 4" xfId="10101" xr:uid="{8DE3F3CE-488C-4552-B6B4-9A56323E71B2}"/>
    <cellStyle name="Currency 5 2 2 5 4 5" xfId="18530" xr:uid="{FC86C77B-5893-4CAE-B068-450EC80066EA}"/>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7" xr:uid="{38778111-CEBC-4490-96DC-F65F7B79FEA4}"/>
    <cellStyle name="Currency 5 2 2 5 5 2 2 3" xfId="25305" xr:uid="{703C8C9D-DFF8-4E32-924B-1FEEC7CD36C6}"/>
    <cellStyle name="Currency 5 2 2 5 5 2 3" xfId="12659" xr:uid="{CF46B83C-9372-4F95-AF52-0C032C8E3EDA}"/>
    <cellStyle name="Currency 5 2 2 5 5 2 4" xfId="21088" xr:uid="{3572D574-92D4-489F-A611-19237842BADA}"/>
    <cellStyle name="Currency 5 2 2 5 5 3" xfId="6303" xr:uid="{00000000-0005-0000-0000-00001A0C0000}"/>
    <cellStyle name="Currency 5 2 2 5 5 3 2" xfId="14732" xr:uid="{BFC1611C-D8E9-4C44-A540-EA90A483FC1F}"/>
    <cellStyle name="Currency 5 2 2 5 5 3 3" xfId="23160" xr:uid="{BF1EE2DB-455C-4B98-AA7C-165234CFBEF3}"/>
    <cellStyle name="Currency 5 2 2 5 5 4" xfId="10514" xr:uid="{EEDC0183-083F-48B5-831E-DD552A7E353B}"/>
    <cellStyle name="Currency 5 2 2 5 5 5" xfId="18943" xr:uid="{0456668E-43FD-4E0F-9A69-12C42FEC0A54}"/>
    <cellStyle name="Currency 5 2 2 5 6" xfId="2430" xr:uid="{00000000-0005-0000-0000-00001B0C0000}"/>
    <cellStyle name="Currency 5 2 2 5 6 2" xfId="6716" xr:uid="{00000000-0005-0000-0000-00001C0C0000}"/>
    <cellStyle name="Currency 5 2 2 5 6 2 2" xfId="15145" xr:uid="{2D3E4526-2181-49DF-8464-57C422DE48B9}"/>
    <cellStyle name="Currency 5 2 2 5 6 2 3" xfId="23573" xr:uid="{4BAC4150-EC50-4FD0-8F53-4871D6876C5C}"/>
    <cellStyle name="Currency 5 2 2 5 6 3" xfId="10927" xr:uid="{8A70C60A-EB7A-4125-B833-E6C0D54F0A24}"/>
    <cellStyle name="Currency 5 2 2 5 6 4" xfId="19356" xr:uid="{7891E9D0-E0E3-49FA-BA0C-98D9E4A56F1D}"/>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62" xr:uid="{0B65E170-DA33-440B-A38C-EBCCDF17EC01}"/>
    <cellStyle name="Currency 5 2 2 5 8 2 3" xfId="23890" xr:uid="{073BA33A-7692-4ED9-ACF3-2CBE586E1859}"/>
    <cellStyle name="Currency 5 2 2 5 8 3" xfId="11244" xr:uid="{9E62069E-A454-4578-90D6-2E39A6EBCC41}"/>
    <cellStyle name="Currency 5 2 2 5 8 4" xfId="19673" xr:uid="{E1539CE9-8C0F-4BBB-A9A2-5E65521AFA96}"/>
    <cellStyle name="Currency 5 2 2 5 9" xfId="4650" xr:uid="{00000000-0005-0000-0000-0000200C0000}"/>
    <cellStyle name="Currency 5 2 2 5 9 2" xfId="13079" xr:uid="{8F6C1B7C-EC58-4D01-AB39-9CA5E4636BF7}"/>
    <cellStyle name="Currency 5 2 2 5 9 3" xfId="21507" xr:uid="{C6DB5AD3-CBC5-4DEC-8516-D46DCA8FCD0F}"/>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80" xr:uid="{5B966489-2AC0-47BE-AB09-C81BEAA692C9}"/>
    <cellStyle name="Currency 5 2 4 10 3" xfId="21508" xr:uid="{C2FA3B87-C83B-4E0B-8C99-ABFF1A05BE88}"/>
    <cellStyle name="Currency 5 2 4 11" xfId="8862" xr:uid="{983EB08F-CC40-47E9-9884-EC84888C7E41}"/>
    <cellStyle name="Currency 5 2 4 12" xfId="17291" xr:uid="{4D689586-4893-4385-B9FF-5ECB70A73EEA}"/>
    <cellStyle name="Currency 5 2 4 2" xfId="206" xr:uid="{00000000-0005-0000-0000-0000250C0000}"/>
    <cellStyle name="Currency 5 2 4 2 10" xfId="8863" xr:uid="{29F85D68-A498-4D5C-9A1D-F5D4D5410ADB}"/>
    <cellStyle name="Currency 5 2 4 2 11" xfId="17292" xr:uid="{338E0290-7340-4317-A5BA-F07ED968AB52}"/>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40" xr:uid="{8E294663-ACCF-475E-A663-8FB7E0AEAC43}"/>
    <cellStyle name="Currency 5 2 4 2 2 2 2 3" xfId="24068" xr:uid="{93D0BD2B-A0A9-4B25-8206-6E4531FBCD17}"/>
    <cellStyle name="Currency 5 2 4 2 2 2 3" xfId="11422" xr:uid="{FAB69EBB-2914-4342-971E-3085CB9FC4C7}"/>
    <cellStyle name="Currency 5 2 4 2 2 2 4" xfId="19851" xr:uid="{CD097C30-7F51-4B5E-AD43-AB5943548A89}"/>
    <cellStyle name="Currency 5 2 4 2 2 3" xfId="5066" xr:uid="{00000000-0005-0000-0000-0000290C0000}"/>
    <cellStyle name="Currency 5 2 4 2 2 3 2" xfId="13495" xr:uid="{3A64CFE9-0C7F-4540-ACF7-CAE96D5906B0}"/>
    <cellStyle name="Currency 5 2 4 2 2 3 3" xfId="21923" xr:uid="{D5D275CA-823B-4366-B2FC-EC43914DF0A9}"/>
    <cellStyle name="Currency 5 2 4 2 2 4" xfId="9277" xr:uid="{9D0F4497-9B81-4CDD-9F34-1AA78563919D}"/>
    <cellStyle name="Currency 5 2 4 2 2 5" xfId="17706" xr:uid="{A01C4018-33CB-4144-A909-50E308295EA1}"/>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53" xr:uid="{80F9E5B9-DEFD-4786-B54D-A9F432FCC54E}"/>
    <cellStyle name="Currency 5 2 4 2 3 2 2 3" xfId="24481" xr:uid="{C41E6B05-B43D-4CA2-9F47-F7168C289EBD}"/>
    <cellStyle name="Currency 5 2 4 2 3 2 3" xfId="11835" xr:uid="{E182397A-4253-49D4-8623-8A06B12EA776}"/>
    <cellStyle name="Currency 5 2 4 2 3 2 4" xfId="20264" xr:uid="{9762D8EA-B3CD-4217-A0C9-663B1A6FD00C}"/>
    <cellStyle name="Currency 5 2 4 2 3 3" xfId="5479" xr:uid="{00000000-0005-0000-0000-00002D0C0000}"/>
    <cellStyle name="Currency 5 2 4 2 3 3 2" xfId="13908" xr:uid="{0AEF8459-D002-482C-BB8C-5842AA23E23F}"/>
    <cellStyle name="Currency 5 2 4 2 3 3 3" xfId="22336" xr:uid="{394C192D-46BE-4AA0-85DA-46AB9DEB4D7D}"/>
    <cellStyle name="Currency 5 2 4 2 3 4" xfId="9690" xr:uid="{3DFDB0BB-C57B-4201-9F1C-B615EBCC8B07}"/>
    <cellStyle name="Currency 5 2 4 2 3 5" xfId="18119" xr:uid="{3CD28C44-B679-4486-9571-20781965640D}"/>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66" xr:uid="{12720800-66B7-456A-99E5-65368AD33645}"/>
    <cellStyle name="Currency 5 2 4 2 4 2 2 3" xfId="24894" xr:uid="{E9199962-8405-4D75-A180-9B7855994BAA}"/>
    <cellStyle name="Currency 5 2 4 2 4 2 3" xfId="12248" xr:uid="{771DE61F-2A25-4B42-9646-8FFC2080CAFE}"/>
    <cellStyle name="Currency 5 2 4 2 4 2 4" xfId="20677" xr:uid="{4DA034DB-BADD-4BFA-815E-A909D60CC933}"/>
    <cellStyle name="Currency 5 2 4 2 4 3" xfId="5892" xr:uid="{00000000-0005-0000-0000-0000310C0000}"/>
    <cellStyle name="Currency 5 2 4 2 4 3 2" xfId="14321" xr:uid="{480643E4-B4EA-4661-9DF9-A82B1AB5DDC2}"/>
    <cellStyle name="Currency 5 2 4 2 4 3 3" xfId="22749" xr:uid="{54219A61-BBE8-4676-BF9A-3EB7204B84FD}"/>
    <cellStyle name="Currency 5 2 4 2 4 4" xfId="10103" xr:uid="{E9A92BE0-FB32-4FEB-8757-EFB5193B5B2A}"/>
    <cellStyle name="Currency 5 2 4 2 4 5" xfId="18532" xr:uid="{9DBD58B2-8773-4D75-8AC1-00CE37428A4B}"/>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9" xr:uid="{3D595DD9-A960-4332-AA9D-7C7558363E85}"/>
    <cellStyle name="Currency 5 2 4 2 5 2 2 3" xfId="25307" xr:uid="{CD7C23F6-F1B4-4B78-BD30-82232C9ABA99}"/>
    <cellStyle name="Currency 5 2 4 2 5 2 3" xfId="12661" xr:uid="{E6842942-0734-477D-995E-1C7533460A89}"/>
    <cellStyle name="Currency 5 2 4 2 5 2 4" xfId="21090" xr:uid="{AC9C70B9-E1F9-4A93-8A7C-5439F73653CD}"/>
    <cellStyle name="Currency 5 2 4 2 5 3" xfId="6305" xr:uid="{00000000-0005-0000-0000-0000350C0000}"/>
    <cellStyle name="Currency 5 2 4 2 5 3 2" xfId="14734" xr:uid="{2BFED8D0-396B-4B0D-96ED-BAB586A6CC37}"/>
    <cellStyle name="Currency 5 2 4 2 5 3 3" xfId="23162" xr:uid="{10216778-6E9C-42E2-A1A8-3DD52820105F}"/>
    <cellStyle name="Currency 5 2 4 2 5 4" xfId="10516" xr:uid="{EFADDAE0-DFEF-4BAD-A574-97149B34FBF0}"/>
    <cellStyle name="Currency 5 2 4 2 5 5" xfId="18945" xr:uid="{A3D9512C-D25E-4D81-A47D-8EC505E345AC}"/>
    <cellStyle name="Currency 5 2 4 2 6" xfId="2432" xr:uid="{00000000-0005-0000-0000-0000360C0000}"/>
    <cellStyle name="Currency 5 2 4 2 6 2" xfId="6718" xr:uid="{00000000-0005-0000-0000-0000370C0000}"/>
    <cellStyle name="Currency 5 2 4 2 6 2 2" xfId="15147" xr:uid="{2CBD74C5-DDF4-4D06-AF09-041A91704C1B}"/>
    <cellStyle name="Currency 5 2 4 2 6 2 3" xfId="23575" xr:uid="{528F9C64-5C75-4286-B410-E26038466798}"/>
    <cellStyle name="Currency 5 2 4 2 6 3" xfId="10929" xr:uid="{FBADC39B-7FD7-49ED-A14A-93D3F9C7247E}"/>
    <cellStyle name="Currency 5 2 4 2 6 4" xfId="19358" xr:uid="{2B07B963-2A4D-43A2-B45B-E1403ABC1A53}"/>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64" xr:uid="{606B00FD-11CA-4C9C-8079-4732F69A1893}"/>
    <cellStyle name="Currency 5 2 4 2 8 2 3" xfId="23892" xr:uid="{652B9FB8-871B-402F-8CBD-A9A07E5AC199}"/>
    <cellStyle name="Currency 5 2 4 2 8 3" xfId="11246" xr:uid="{75928480-209D-4D80-AAE8-E63F2FE06D70}"/>
    <cellStyle name="Currency 5 2 4 2 8 4" xfId="19675" xr:uid="{E7D84917-EDF6-4E73-B9F3-116858364BC2}"/>
    <cellStyle name="Currency 5 2 4 2 9" xfId="4652" xr:uid="{00000000-0005-0000-0000-00003B0C0000}"/>
    <cellStyle name="Currency 5 2 4 2 9 2" xfId="13081" xr:uid="{AB47042C-B326-4D15-B5E9-6A5B541548AA}"/>
    <cellStyle name="Currency 5 2 4 2 9 3" xfId="21509" xr:uid="{8A6834D9-224D-4508-A130-22D6C447CA7A}"/>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9" xr:uid="{35759098-7CDE-4169-98CD-8FEF27F4BEE5}"/>
    <cellStyle name="Currency 5 2 4 3 2 2 3" xfId="24067" xr:uid="{7667DD54-4B60-41F9-B3AC-36A9A3602C60}"/>
    <cellStyle name="Currency 5 2 4 3 2 3" xfId="11421" xr:uid="{FC785607-BD0A-413C-8B4C-8AB584A6FB60}"/>
    <cellStyle name="Currency 5 2 4 3 2 4" xfId="19850" xr:uid="{E8672FF1-75EC-458A-B4AC-6AD03971E1B1}"/>
    <cellStyle name="Currency 5 2 4 3 3" xfId="5065" xr:uid="{00000000-0005-0000-0000-00003F0C0000}"/>
    <cellStyle name="Currency 5 2 4 3 3 2" xfId="13494" xr:uid="{E834FDA0-3E09-45BF-9B9B-359D29D2523F}"/>
    <cellStyle name="Currency 5 2 4 3 3 3" xfId="21922" xr:uid="{DF9221EE-B768-4B2C-B04A-D99CCA6428B4}"/>
    <cellStyle name="Currency 5 2 4 3 4" xfId="9276" xr:uid="{0BD44442-41E1-4A87-BEFB-4AFE7D80E4DF}"/>
    <cellStyle name="Currency 5 2 4 3 5" xfId="17705" xr:uid="{84BCA356-4D9C-48E4-96C1-C71E43B3F75B}"/>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52" xr:uid="{26FA4579-E7C3-4031-A5B0-8DF31761E8E4}"/>
    <cellStyle name="Currency 5 2 4 4 2 2 3" xfId="24480" xr:uid="{186826F9-2421-464B-9C98-1489F6A0E5F3}"/>
    <cellStyle name="Currency 5 2 4 4 2 3" xfId="11834" xr:uid="{168896F1-0F38-4E97-A547-D8B186CD3F6A}"/>
    <cellStyle name="Currency 5 2 4 4 2 4" xfId="20263" xr:uid="{623A9B59-7007-43C2-982C-1ACEAD78ABF4}"/>
    <cellStyle name="Currency 5 2 4 4 3" xfId="5478" xr:uid="{00000000-0005-0000-0000-0000430C0000}"/>
    <cellStyle name="Currency 5 2 4 4 3 2" xfId="13907" xr:uid="{AEBE7D60-D2AD-4894-9AD6-CD8CE414B552}"/>
    <cellStyle name="Currency 5 2 4 4 3 3" xfId="22335" xr:uid="{132FDA31-3746-46B9-8048-16816ABF12AD}"/>
    <cellStyle name="Currency 5 2 4 4 4" xfId="9689" xr:uid="{0C497284-9D3D-4502-B4D5-C0EC8B8E2D4B}"/>
    <cellStyle name="Currency 5 2 4 4 5" xfId="18118" xr:uid="{32A418F0-7638-49B1-9137-11F87B3F6BD9}"/>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65" xr:uid="{B94519D9-53D9-45E7-8359-CC81F01A3259}"/>
    <cellStyle name="Currency 5 2 4 5 2 2 3" xfId="24893" xr:uid="{56654B20-1FDB-4656-993B-04B61F83D67F}"/>
    <cellStyle name="Currency 5 2 4 5 2 3" xfId="12247" xr:uid="{89AACAB0-FC1C-40A5-80A5-3A9D85191C3E}"/>
    <cellStyle name="Currency 5 2 4 5 2 4" xfId="20676" xr:uid="{F30B2B3C-4E46-4137-B4EE-BFAEC3CD9EA6}"/>
    <cellStyle name="Currency 5 2 4 5 3" xfId="5891" xr:uid="{00000000-0005-0000-0000-0000470C0000}"/>
    <cellStyle name="Currency 5 2 4 5 3 2" xfId="14320" xr:uid="{805D7BC5-A4D0-4292-B05B-F3A1E9B296E3}"/>
    <cellStyle name="Currency 5 2 4 5 3 3" xfId="22748" xr:uid="{1FB2EA3D-56EB-4687-B057-C65FD893603E}"/>
    <cellStyle name="Currency 5 2 4 5 4" xfId="10102" xr:uid="{FA3710F2-3949-49E5-B1B4-26246EAC6361}"/>
    <cellStyle name="Currency 5 2 4 5 5" xfId="18531" xr:uid="{21D591C8-5576-4B5B-8AA0-131CDA305D57}"/>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8" xr:uid="{E318DD3A-1BCF-48A6-842F-90E4E6C7BCA7}"/>
    <cellStyle name="Currency 5 2 4 6 2 2 3" xfId="25306" xr:uid="{9D5D2CBB-E576-432A-8FF0-6D0829591467}"/>
    <cellStyle name="Currency 5 2 4 6 2 3" xfId="12660" xr:uid="{43ECBF45-6DB0-4066-8EF7-95D2D413B799}"/>
    <cellStyle name="Currency 5 2 4 6 2 4" xfId="21089" xr:uid="{92C67E29-B427-4325-B7AF-139C0E9260D3}"/>
    <cellStyle name="Currency 5 2 4 6 3" xfId="6304" xr:uid="{00000000-0005-0000-0000-00004B0C0000}"/>
    <cellStyle name="Currency 5 2 4 6 3 2" xfId="14733" xr:uid="{306D417D-F233-4C15-BE0B-77F0144AC343}"/>
    <cellStyle name="Currency 5 2 4 6 3 3" xfId="23161" xr:uid="{14D536D5-5A44-4AA2-A86E-7B725121D2AC}"/>
    <cellStyle name="Currency 5 2 4 6 4" xfId="10515" xr:uid="{EE973655-1A35-4247-8118-E5F784843628}"/>
    <cellStyle name="Currency 5 2 4 6 5" xfId="18944" xr:uid="{E4D6F94B-2DA4-4252-B154-72AA7409DD45}"/>
    <cellStyle name="Currency 5 2 4 7" xfId="2431" xr:uid="{00000000-0005-0000-0000-00004C0C0000}"/>
    <cellStyle name="Currency 5 2 4 7 2" xfId="6717" xr:uid="{00000000-0005-0000-0000-00004D0C0000}"/>
    <cellStyle name="Currency 5 2 4 7 2 2" xfId="15146" xr:uid="{E36712C2-7624-4B5B-A328-7A2293050B7B}"/>
    <cellStyle name="Currency 5 2 4 7 2 3" xfId="23574" xr:uid="{D3F5FAD3-808A-4DA5-9349-7AEECCC1DFD3}"/>
    <cellStyle name="Currency 5 2 4 7 3" xfId="10928" xr:uid="{B74621CB-91AF-4742-ACE3-211D7364DC0C}"/>
    <cellStyle name="Currency 5 2 4 7 4" xfId="19357" xr:uid="{AC394432-5EEE-4F09-A217-0B675A1ED147}"/>
    <cellStyle name="Currency 5 2 4 8" xfId="2728" xr:uid="{00000000-0005-0000-0000-00004E0C0000}"/>
    <cellStyle name="Currency 5 2 4 9" xfId="2809" xr:uid="{00000000-0005-0000-0000-00004F0C0000}"/>
    <cellStyle name="Currency 5 2 4 9 2" xfId="7034" xr:uid="{00000000-0005-0000-0000-0000500C0000}"/>
    <cellStyle name="Currency 5 2 4 9 2 2" xfId="15463" xr:uid="{6C60A598-741D-49D3-BC1D-8EBBAA32A542}"/>
    <cellStyle name="Currency 5 2 4 9 2 3" xfId="23891" xr:uid="{9D4ACAC3-DF0E-4A98-AF87-8BB2398B310D}"/>
    <cellStyle name="Currency 5 2 4 9 3" xfId="11245" xr:uid="{E7795E87-E13D-40C1-8E4E-4BE2D3456AC3}"/>
    <cellStyle name="Currency 5 2 4 9 4" xfId="19674" xr:uid="{DE00F5CF-8479-46DF-8645-09A663F02651}"/>
    <cellStyle name="Currency 5 2 5" xfId="207" xr:uid="{00000000-0005-0000-0000-0000510C0000}"/>
    <cellStyle name="Currency 5 2 5 10" xfId="8864" xr:uid="{712E6A71-28ED-43C5-96B3-37180B8A832A}"/>
    <cellStyle name="Currency 5 2 5 11" xfId="17293" xr:uid="{6922FDF0-C790-4D07-A02C-E721CF184A56}"/>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41" xr:uid="{9BA7F1EB-D65E-4DBB-B4CE-DF0DD3565762}"/>
    <cellStyle name="Currency 5 2 5 2 2 2 3" xfId="24069" xr:uid="{1884656F-A0D7-4841-936B-D746028D4B1F}"/>
    <cellStyle name="Currency 5 2 5 2 2 3" xfId="11423" xr:uid="{75B42F96-C911-4F22-8155-D66C778FA5D0}"/>
    <cellStyle name="Currency 5 2 5 2 2 4" xfId="19852" xr:uid="{22F7B46C-E605-4CF1-9B63-DFB07DDED5C2}"/>
    <cellStyle name="Currency 5 2 5 2 3" xfId="5067" xr:uid="{00000000-0005-0000-0000-0000550C0000}"/>
    <cellStyle name="Currency 5 2 5 2 3 2" xfId="13496" xr:uid="{C60C639F-A148-47EB-9CBA-6D72EFD7A44F}"/>
    <cellStyle name="Currency 5 2 5 2 3 3" xfId="21924" xr:uid="{14B5C2E0-252F-46EB-8177-F25C85F25B89}"/>
    <cellStyle name="Currency 5 2 5 2 4" xfId="9278" xr:uid="{7E96B099-B54E-4CBD-A16B-8A999F98492C}"/>
    <cellStyle name="Currency 5 2 5 2 5" xfId="17707" xr:uid="{BBE52DD9-C053-4E72-B18F-056862F535A8}"/>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54" xr:uid="{09F4D8A8-DD47-4333-A425-9FF1E4863E33}"/>
    <cellStyle name="Currency 5 2 5 3 2 2 3" xfId="24482" xr:uid="{FFE79A8B-DE7B-4515-A5D9-47BE24562E23}"/>
    <cellStyle name="Currency 5 2 5 3 2 3" xfId="11836" xr:uid="{BEACF044-28DF-4C7E-ADF6-941DC4FF869C}"/>
    <cellStyle name="Currency 5 2 5 3 2 4" xfId="20265" xr:uid="{3484B7BA-3197-414E-8018-D79DB698B282}"/>
    <cellStyle name="Currency 5 2 5 3 3" xfId="5480" xr:uid="{00000000-0005-0000-0000-0000590C0000}"/>
    <cellStyle name="Currency 5 2 5 3 3 2" xfId="13909" xr:uid="{0E5AAEA8-1243-4182-9432-1B9AAE6855CF}"/>
    <cellStyle name="Currency 5 2 5 3 3 3" xfId="22337" xr:uid="{8E8885EB-5F80-4520-AA3C-7A15091266EC}"/>
    <cellStyle name="Currency 5 2 5 3 4" xfId="9691" xr:uid="{8327B716-64DE-4D35-9F83-3A49D0446934}"/>
    <cellStyle name="Currency 5 2 5 3 5" xfId="18120" xr:uid="{7E9E500F-6E1C-4FBA-9E4F-23BD36E3B99A}"/>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7" xr:uid="{1094D0B3-4756-4DE7-A951-8F71F8412C1B}"/>
    <cellStyle name="Currency 5 2 5 4 2 2 3" xfId="24895" xr:uid="{97523E6D-4EA4-4360-A517-53D5366D0AE5}"/>
    <cellStyle name="Currency 5 2 5 4 2 3" xfId="12249" xr:uid="{93841899-D1D5-4858-BC77-F0FBFCF44799}"/>
    <cellStyle name="Currency 5 2 5 4 2 4" xfId="20678" xr:uid="{8FD16B7F-3F96-43A0-8E7D-671011FAF6A1}"/>
    <cellStyle name="Currency 5 2 5 4 3" xfId="5893" xr:uid="{00000000-0005-0000-0000-00005D0C0000}"/>
    <cellStyle name="Currency 5 2 5 4 3 2" xfId="14322" xr:uid="{515B76EF-1F4C-471A-BA87-ED4762AA4E90}"/>
    <cellStyle name="Currency 5 2 5 4 3 3" xfId="22750" xr:uid="{619D76A7-B7F8-47B4-9C05-A5B2D9C4082C}"/>
    <cellStyle name="Currency 5 2 5 4 4" xfId="10104" xr:uid="{891B5E2C-DE47-43C3-AD46-5426F5F5749F}"/>
    <cellStyle name="Currency 5 2 5 4 5" xfId="18533" xr:uid="{5C1CAA54-3C56-4701-84A3-89CB3C6CCA6C}"/>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80" xr:uid="{0007631D-FEC0-40EE-9E0A-E825ED3FEABA}"/>
    <cellStyle name="Currency 5 2 5 5 2 2 3" xfId="25308" xr:uid="{EB3C2215-FA78-431D-AAC7-1C8FFB6623D5}"/>
    <cellStyle name="Currency 5 2 5 5 2 3" xfId="12662" xr:uid="{6A24308E-4603-4140-92E3-B637062A3291}"/>
    <cellStyle name="Currency 5 2 5 5 2 4" xfId="21091" xr:uid="{6B9E9414-4F36-483F-B657-7F6B758EBD10}"/>
    <cellStyle name="Currency 5 2 5 5 3" xfId="6306" xr:uid="{00000000-0005-0000-0000-0000610C0000}"/>
    <cellStyle name="Currency 5 2 5 5 3 2" xfId="14735" xr:uid="{0C1E264D-382D-493C-969A-1DA76DD87F20}"/>
    <cellStyle name="Currency 5 2 5 5 3 3" xfId="23163" xr:uid="{92AB8F70-A7A9-413F-BFCA-4EFB1A4B1ED3}"/>
    <cellStyle name="Currency 5 2 5 5 4" xfId="10517" xr:uid="{5FA23A0F-CC54-451F-8176-A1AAC530296D}"/>
    <cellStyle name="Currency 5 2 5 5 5" xfId="18946" xr:uid="{EC64237A-6356-4AED-ABB0-858C051C96C8}"/>
    <cellStyle name="Currency 5 2 5 6" xfId="2433" xr:uid="{00000000-0005-0000-0000-0000620C0000}"/>
    <cellStyle name="Currency 5 2 5 6 2" xfId="6719" xr:uid="{00000000-0005-0000-0000-0000630C0000}"/>
    <cellStyle name="Currency 5 2 5 6 2 2" xfId="15148" xr:uid="{66D834B8-39AB-4AA4-9B2E-61CDC37FB665}"/>
    <cellStyle name="Currency 5 2 5 6 2 3" xfId="23576" xr:uid="{B00FD305-4017-47C4-931C-A484DF153E93}"/>
    <cellStyle name="Currency 5 2 5 6 3" xfId="10930" xr:uid="{C46D95C8-417A-423D-8C0B-EC15D8A2F946}"/>
    <cellStyle name="Currency 5 2 5 6 4" xfId="19359" xr:uid="{17A6E60B-50AF-402A-9999-41D3311C806F}"/>
    <cellStyle name="Currency 5 2 5 7" xfId="2730" xr:uid="{00000000-0005-0000-0000-0000640C0000}"/>
    <cellStyle name="Currency 5 2 5 8" xfId="2811" xr:uid="{00000000-0005-0000-0000-0000650C0000}"/>
    <cellStyle name="Currency 5 2 5 8 2" xfId="7036" xr:uid="{00000000-0005-0000-0000-0000660C0000}"/>
    <cellStyle name="Currency 5 2 5 8 2 2" xfId="15465" xr:uid="{55B27537-5368-47E1-8F56-B3BC8BFD0C91}"/>
    <cellStyle name="Currency 5 2 5 8 2 3" xfId="23893" xr:uid="{9AE22BD0-DCF1-40C5-9855-7D1C811CE87A}"/>
    <cellStyle name="Currency 5 2 5 8 3" xfId="11247" xr:uid="{4755C80F-51B7-46D6-8F16-37C1F2E781D4}"/>
    <cellStyle name="Currency 5 2 5 8 4" xfId="19676" xr:uid="{D8D6E963-5CC1-4321-BEFA-11A47CCF1929}"/>
    <cellStyle name="Currency 5 2 5 9" xfId="4653" xr:uid="{00000000-0005-0000-0000-0000670C0000}"/>
    <cellStyle name="Currency 5 2 5 9 2" xfId="13082" xr:uid="{3AA2A3CA-D73C-475E-8664-5F8E1DB84272}"/>
    <cellStyle name="Currency 5 2 5 9 3" xfId="21510" xr:uid="{220F817C-AC3F-46A4-9BAF-16F33E89CD52}"/>
    <cellStyle name="Currency 5 2 6" xfId="208" xr:uid="{00000000-0005-0000-0000-0000680C0000}"/>
    <cellStyle name="Currency 5 2 6 10" xfId="8865" xr:uid="{BE91E6DF-2687-4A51-A193-3E2156034C2A}"/>
    <cellStyle name="Currency 5 2 6 11" xfId="17294" xr:uid="{1A6FC7EA-2C23-4B99-96EC-A5257C538D04}"/>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42" xr:uid="{8246810F-59C5-4A2E-9DE5-EF988AA96483}"/>
    <cellStyle name="Currency 5 2 6 2 2 2 3" xfId="24070" xr:uid="{960A9D18-FBB2-49F5-A760-480E3F36B9BA}"/>
    <cellStyle name="Currency 5 2 6 2 2 3" xfId="11424" xr:uid="{9D778633-C8D0-4048-8A23-D2F89BB2683B}"/>
    <cellStyle name="Currency 5 2 6 2 2 4" xfId="19853" xr:uid="{6E12255B-4065-4FFE-86F6-804E5D046E83}"/>
    <cellStyle name="Currency 5 2 6 2 3" xfId="5068" xr:uid="{00000000-0005-0000-0000-00006C0C0000}"/>
    <cellStyle name="Currency 5 2 6 2 3 2" xfId="13497" xr:uid="{E8CAE38D-69D3-43F4-8A5A-A74929383CFF}"/>
    <cellStyle name="Currency 5 2 6 2 3 3" xfId="21925" xr:uid="{BE0B39D7-9ADD-4CAA-AA18-7D3DC24CE5A2}"/>
    <cellStyle name="Currency 5 2 6 2 4" xfId="9279" xr:uid="{B8D240F9-00EF-41B6-A1C7-1119B24D71FB}"/>
    <cellStyle name="Currency 5 2 6 2 5" xfId="17708" xr:uid="{1473B5B3-0B73-48BB-ADCC-7D980C6F6E5F}"/>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55" xr:uid="{10860000-958D-430B-8096-9C9DBF0FDBE3}"/>
    <cellStyle name="Currency 5 2 6 3 2 2 3" xfId="24483" xr:uid="{A0CFCC00-5A62-44A6-9550-FE3C5DABB8CB}"/>
    <cellStyle name="Currency 5 2 6 3 2 3" xfId="11837" xr:uid="{3032FF41-DE44-4BE3-8C6F-1CEE369F02BE}"/>
    <cellStyle name="Currency 5 2 6 3 2 4" xfId="20266" xr:uid="{BEA26F65-F8CB-4BD3-80AE-74B9208B181A}"/>
    <cellStyle name="Currency 5 2 6 3 3" xfId="5481" xr:uid="{00000000-0005-0000-0000-0000700C0000}"/>
    <cellStyle name="Currency 5 2 6 3 3 2" xfId="13910" xr:uid="{5FF932F2-CE3C-43D0-929C-A9EF6AAE118D}"/>
    <cellStyle name="Currency 5 2 6 3 3 3" xfId="22338" xr:uid="{1EBE62BB-33A9-449F-8CEA-36FDF38F3DBB}"/>
    <cellStyle name="Currency 5 2 6 3 4" xfId="9692" xr:uid="{0A1030D7-88B8-46FD-BA54-A661BAA967A4}"/>
    <cellStyle name="Currency 5 2 6 3 5" xfId="18121" xr:uid="{A331D100-A165-42B2-9AB2-7FED03696BFF}"/>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8" xr:uid="{1C1C19DF-CF49-43FD-940E-D00FF65C6CAE}"/>
    <cellStyle name="Currency 5 2 6 4 2 2 3" xfId="24896" xr:uid="{5038DBDE-50F6-4698-BD15-35EC7B853FCA}"/>
    <cellStyle name="Currency 5 2 6 4 2 3" xfId="12250" xr:uid="{FA3756DC-60D7-4963-B38C-14FB97865480}"/>
    <cellStyle name="Currency 5 2 6 4 2 4" xfId="20679" xr:uid="{55E8A6B0-FCEA-4835-8B8A-D52A9FF3A775}"/>
    <cellStyle name="Currency 5 2 6 4 3" xfId="5894" xr:uid="{00000000-0005-0000-0000-0000740C0000}"/>
    <cellStyle name="Currency 5 2 6 4 3 2" xfId="14323" xr:uid="{F3B94F7A-AEE4-4479-BCEA-7675E640B553}"/>
    <cellStyle name="Currency 5 2 6 4 3 3" xfId="22751" xr:uid="{A07B693A-AE12-4F95-9A13-2F8BF92FCAD5}"/>
    <cellStyle name="Currency 5 2 6 4 4" xfId="10105" xr:uid="{586B8819-9F63-4197-A4AB-3D3B127B2F42}"/>
    <cellStyle name="Currency 5 2 6 4 5" xfId="18534" xr:uid="{0952420A-FCAC-4A6F-A9CF-599ACAF89D54}"/>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81" xr:uid="{1A0D94B3-9FFA-444E-AA98-41421201DBB8}"/>
    <cellStyle name="Currency 5 2 6 5 2 2 3" xfId="25309" xr:uid="{88878C8A-9BE0-48F5-A618-0509290B640F}"/>
    <cellStyle name="Currency 5 2 6 5 2 3" xfId="12663" xr:uid="{CB566CA2-8832-4190-8381-55C7B17409E0}"/>
    <cellStyle name="Currency 5 2 6 5 2 4" xfId="21092" xr:uid="{82E6D4A5-6767-4EF2-BF49-65646EF53862}"/>
    <cellStyle name="Currency 5 2 6 5 3" xfId="6307" xr:uid="{00000000-0005-0000-0000-0000780C0000}"/>
    <cellStyle name="Currency 5 2 6 5 3 2" xfId="14736" xr:uid="{50435A31-243C-4AF4-B3C6-0D6E9655A0F2}"/>
    <cellStyle name="Currency 5 2 6 5 3 3" xfId="23164" xr:uid="{4100EDBA-D0EA-40EA-802B-0BB12F06C008}"/>
    <cellStyle name="Currency 5 2 6 5 4" xfId="10518" xr:uid="{E59321F3-5BE8-4316-B0BB-7E5757D1F692}"/>
    <cellStyle name="Currency 5 2 6 5 5" xfId="18947" xr:uid="{2CEADE4D-9C1C-484A-A1D8-371D374FAFB1}"/>
    <cellStyle name="Currency 5 2 6 6" xfId="2434" xr:uid="{00000000-0005-0000-0000-0000790C0000}"/>
    <cellStyle name="Currency 5 2 6 6 2" xfId="6720" xr:uid="{00000000-0005-0000-0000-00007A0C0000}"/>
    <cellStyle name="Currency 5 2 6 6 2 2" xfId="15149" xr:uid="{8058A651-D770-4EE8-8730-E300BB8C9A0C}"/>
    <cellStyle name="Currency 5 2 6 6 2 3" xfId="23577" xr:uid="{FFA15BFB-7AF8-49E6-A9F8-E8D1A6C87538}"/>
    <cellStyle name="Currency 5 2 6 6 3" xfId="10931" xr:uid="{0FC2C3F3-0001-49F6-9972-43C8FFC44E9F}"/>
    <cellStyle name="Currency 5 2 6 6 4" xfId="19360" xr:uid="{3A36D1ED-567E-4F6B-9413-A643A3D2380C}"/>
    <cellStyle name="Currency 5 2 6 7" xfId="2731" xr:uid="{00000000-0005-0000-0000-00007B0C0000}"/>
    <cellStyle name="Currency 5 2 6 8" xfId="2812" xr:uid="{00000000-0005-0000-0000-00007C0C0000}"/>
    <cellStyle name="Currency 5 2 6 8 2" xfId="7037" xr:uid="{00000000-0005-0000-0000-00007D0C0000}"/>
    <cellStyle name="Currency 5 2 6 8 2 2" xfId="15466" xr:uid="{B6C88437-975A-4BBF-A70D-B17D1FCF6DF3}"/>
    <cellStyle name="Currency 5 2 6 8 2 3" xfId="23894" xr:uid="{994937B9-6ECC-4C56-B9E0-CC4C56B511D5}"/>
    <cellStyle name="Currency 5 2 6 8 3" xfId="11248" xr:uid="{5FACC925-8034-4DF2-8CCA-855FEDE1BB44}"/>
    <cellStyle name="Currency 5 2 6 8 4" xfId="19677" xr:uid="{6F3669FA-D610-4057-AA29-D63F5C67ED0D}"/>
    <cellStyle name="Currency 5 2 6 9" xfId="4654" xr:uid="{00000000-0005-0000-0000-00007E0C0000}"/>
    <cellStyle name="Currency 5 2 6 9 2" xfId="13083" xr:uid="{B2C281B5-C03B-49C0-A93B-9676EF532E90}"/>
    <cellStyle name="Currency 5 2 6 9 3" xfId="21511" xr:uid="{1FD15B41-CBDB-48C1-9FC3-53FCC313F1D2}"/>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7" xr:uid="{046E0D44-DB4A-4B6B-8517-F612027AD85C}"/>
    <cellStyle name="Currency 5 3 2 10 2 3" xfId="23895" xr:uid="{9C49A404-CD03-44C8-AB9B-6260078A2980}"/>
    <cellStyle name="Currency 5 3 2 10 3" xfId="11249" xr:uid="{09F70ABB-B6E2-4386-8352-0715F5D48167}"/>
    <cellStyle name="Currency 5 3 2 10 4" xfId="19678" xr:uid="{CF96715F-FB28-4321-B2F8-A1E96932EC29}"/>
    <cellStyle name="Currency 5 3 2 11" xfId="4655" xr:uid="{00000000-0005-0000-0000-0000840C0000}"/>
    <cellStyle name="Currency 5 3 2 11 2" xfId="13084" xr:uid="{5B95D0B0-19DC-4156-89CF-93DEC66C33C1}"/>
    <cellStyle name="Currency 5 3 2 11 3" xfId="21512" xr:uid="{EFB8E832-9EF4-434F-A389-B6F6056AC156}"/>
    <cellStyle name="Currency 5 3 2 12" xfId="8866" xr:uid="{59C5C4CC-6AAA-4970-A1C5-DBFF5179CFC6}"/>
    <cellStyle name="Currency 5 3 2 13" xfId="17295" xr:uid="{02B4C15E-4A16-4C65-B2B5-B4A785FA2CB0}"/>
    <cellStyle name="Currency 5 3 2 2" xfId="211" xr:uid="{00000000-0005-0000-0000-0000850C0000}"/>
    <cellStyle name="Currency 5 3 2 2 10" xfId="4656" xr:uid="{00000000-0005-0000-0000-0000860C0000}"/>
    <cellStyle name="Currency 5 3 2 2 10 2" xfId="13085" xr:uid="{4AE7B531-E237-4EC5-A5DF-4EB02843F611}"/>
    <cellStyle name="Currency 5 3 2 2 10 3" xfId="21513" xr:uid="{6983E802-361E-4F76-BEC1-098D4717A796}"/>
    <cellStyle name="Currency 5 3 2 2 11" xfId="8867" xr:uid="{AE88A54A-901C-4FA8-980B-6B9B2AF0B353}"/>
    <cellStyle name="Currency 5 3 2 2 12" xfId="17296" xr:uid="{6789B774-0981-4885-AB92-5A308206AFE2}"/>
    <cellStyle name="Currency 5 3 2 2 2" xfId="212" xr:uid="{00000000-0005-0000-0000-0000870C0000}"/>
    <cellStyle name="Currency 5 3 2 2 2 10" xfId="8868" xr:uid="{92B109AE-B609-4FA2-B745-74FFB1380B98}"/>
    <cellStyle name="Currency 5 3 2 2 2 11" xfId="17297" xr:uid="{17FD09C1-F1E9-43CF-882E-6DEDFB3687F6}"/>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45" xr:uid="{6F21DCC4-78AE-44FD-ACC5-8F7E5E6E91D7}"/>
    <cellStyle name="Currency 5 3 2 2 2 2 2 2 3" xfId="24073" xr:uid="{BE3D7307-D4DC-4928-B829-FE5848EE4B93}"/>
    <cellStyle name="Currency 5 3 2 2 2 2 2 3" xfId="11427" xr:uid="{A3D0C7F9-6612-419E-95C1-FDC2BA059CC4}"/>
    <cellStyle name="Currency 5 3 2 2 2 2 2 4" xfId="19856" xr:uid="{3DB31671-7924-4505-838C-F65005FF9F64}"/>
    <cellStyle name="Currency 5 3 2 2 2 2 3" xfId="5071" xr:uid="{00000000-0005-0000-0000-00008B0C0000}"/>
    <cellStyle name="Currency 5 3 2 2 2 2 3 2" xfId="13500" xr:uid="{9D9894E0-313C-4E99-A117-A236DB1234C9}"/>
    <cellStyle name="Currency 5 3 2 2 2 2 3 3" xfId="21928" xr:uid="{36999340-E9A0-45AD-BC82-CAEDDCC71AB7}"/>
    <cellStyle name="Currency 5 3 2 2 2 2 4" xfId="9282" xr:uid="{D94C0944-00F1-4CCB-B522-6DF0635A5E96}"/>
    <cellStyle name="Currency 5 3 2 2 2 2 5" xfId="17711" xr:uid="{C006133B-9E80-4F82-ABEA-B89ADA1ED5BD}"/>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8" xr:uid="{E7C2CD63-0080-40AB-995B-FA773B232189}"/>
    <cellStyle name="Currency 5 3 2 2 2 3 2 2 3" xfId="24486" xr:uid="{628A3FDE-61E0-4886-98C9-AC47E029FAB0}"/>
    <cellStyle name="Currency 5 3 2 2 2 3 2 3" xfId="11840" xr:uid="{8C8B39B4-468A-46AF-9B7E-39E66707D382}"/>
    <cellStyle name="Currency 5 3 2 2 2 3 2 4" xfId="20269" xr:uid="{9CDBC964-C183-4B8B-8FE2-D479925CF60A}"/>
    <cellStyle name="Currency 5 3 2 2 2 3 3" xfId="5484" xr:uid="{00000000-0005-0000-0000-00008F0C0000}"/>
    <cellStyle name="Currency 5 3 2 2 2 3 3 2" xfId="13913" xr:uid="{0204DE76-9380-4A49-93CE-3FFD7324EE5E}"/>
    <cellStyle name="Currency 5 3 2 2 2 3 3 3" xfId="22341" xr:uid="{214581F8-6E08-48A4-A972-287BFF1F3C66}"/>
    <cellStyle name="Currency 5 3 2 2 2 3 4" xfId="9695" xr:uid="{CB970469-704A-4C73-9A65-AAFF236BC123}"/>
    <cellStyle name="Currency 5 3 2 2 2 3 5" xfId="18124" xr:uid="{EB2429D7-E0A0-4D9C-A424-D3E736296C98}"/>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71" xr:uid="{06F502EE-1641-4871-A5F0-02BEA9152A5C}"/>
    <cellStyle name="Currency 5 3 2 2 2 4 2 2 3" xfId="24899" xr:uid="{95D03F05-A953-4D02-9A0B-9933ACC84995}"/>
    <cellStyle name="Currency 5 3 2 2 2 4 2 3" xfId="12253" xr:uid="{50E7D0D9-5E9A-455A-8B05-8A3D5B5F67F7}"/>
    <cellStyle name="Currency 5 3 2 2 2 4 2 4" xfId="20682" xr:uid="{BE9B7034-3C9F-4EA3-B7A3-ECD6D6876E0F}"/>
    <cellStyle name="Currency 5 3 2 2 2 4 3" xfId="5897" xr:uid="{00000000-0005-0000-0000-0000930C0000}"/>
    <cellStyle name="Currency 5 3 2 2 2 4 3 2" xfId="14326" xr:uid="{2257096E-501D-44D6-8B7C-455CDBE94171}"/>
    <cellStyle name="Currency 5 3 2 2 2 4 3 3" xfId="22754" xr:uid="{B0739B30-27AE-49C5-A00A-388D380E345B}"/>
    <cellStyle name="Currency 5 3 2 2 2 4 4" xfId="10108" xr:uid="{50B2D006-A278-4B2E-8D47-CA250841B75F}"/>
    <cellStyle name="Currency 5 3 2 2 2 4 5" xfId="18537" xr:uid="{751799C8-616A-4F41-9969-6D2CEA597613}"/>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84" xr:uid="{335D7EC6-C174-4A95-8660-AF4F75923958}"/>
    <cellStyle name="Currency 5 3 2 2 2 5 2 2 3" xfId="25312" xr:uid="{2D879117-3E32-4B7F-992E-6AFD16F2ADE5}"/>
    <cellStyle name="Currency 5 3 2 2 2 5 2 3" xfId="12666" xr:uid="{418C5717-433D-435C-AE27-1F2F8745EC91}"/>
    <cellStyle name="Currency 5 3 2 2 2 5 2 4" xfId="21095" xr:uid="{5B65E5AD-38BA-4FBF-84CD-C68311D12C15}"/>
    <cellStyle name="Currency 5 3 2 2 2 5 3" xfId="6310" xr:uid="{00000000-0005-0000-0000-0000970C0000}"/>
    <cellStyle name="Currency 5 3 2 2 2 5 3 2" xfId="14739" xr:uid="{90C147CB-5752-4EBC-AE25-09715EB0811D}"/>
    <cellStyle name="Currency 5 3 2 2 2 5 3 3" xfId="23167" xr:uid="{DFD6DB74-53EB-407A-A02E-055C56C38E83}"/>
    <cellStyle name="Currency 5 3 2 2 2 5 4" xfId="10521" xr:uid="{FA2A8581-064C-47D7-AC9B-FA17AC1F4715}"/>
    <cellStyle name="Currency 5 3 2 2 2 5 5" xfId="18950" xr:uid="{4309F92A-136C-43BE-8F26-FD730A634804}"/>
    <cellStyle name="Currency 5 3 2 2 2 6" xfId="2437" xr:uid="{00000000-0005-0000-0000-0000980C0000}"/>
    <cellStyle name="Currency 5 3 2 2 2 6 2" xfId="6723" xr:uid="{00000000-0005-0000-0000-0000990C0000}"/>
    <cellStyle name="Currency 5 3 2 2 2 6 2 2" xfId="15152" xr:uid="{155D5E23-76C5-4B15-96FC-210CE554B974}"/>
    <cellStyle name="Currency 5 3 2 2 2 6 2 3" xfId="23580" xr:uid="{30FB83AC-D773-491A-8D5E-AE182C300245}"/>
    <cellStyle name="Currency 5 3 2 2 2 6 3" xfId="10934" xr:uid="{BA805D84-41D3-4E79-8B0E-6DCA0B4F4F56}"/>
    <cellStyle name="Currency 5 3 2 2 2 6 4" xfId="19363" xr:uid="{8F5BE47A-A302-4A57-A3E4-F9E359D114A6}"/>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9" xr:uid="{0F07FE5C-C307-47A0-B48F-42F8404220F3}"/>
    <cellStyle name="Currency 5 3 2 2 2 8 2 3" xfId="23897" xr:uid="{8DF5167F-8224-4E6C-A11D-551C63CEB671}"/>
    <cellStyle name="Currency 5 3 2 2 2 8 3" xfId="11251" xr:uid="{3CCB1FEE-B520-433C-B9FE-30EEE409F415}"/>
    <cellStyle name="Currency 5 3 2 2 2 8 4" xfId="19680" xr:uid="{AF207E8B-2CC4-40EA-980C-07B3C38DCC5A}"/>
    <cellStyle name="Currency 5 3 2 2 2 9" xfId="4657" xr:uid="{00000000-0005-0000-0000-00009D0C0000}"/>
    <cellStyle name="Currency 5 3 2 2 2 9 2" xfId="13086" xr:uid="{F7AE49AD-726F-4345-B1E3-2D0955FA40F6}"/>
    <cellStyle name="Currency 5 3 2 2 2 9 3" xfId="21514" xr:uid="{80994E24-FD9D-4025-8517-AD88AC62358A}"/>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44" xr:uid="{2A0DEAE3-519C-4EC4-B570-27AC538D5C99}"/>
    <cellStyle name="Currency 5 3 2 2 3 2 2 3" xfId="24072" xr:uid="{83AE5702-165D-4281-87D1-913BE530739A}"/>
    <cellStyle name="Currency 5 3 2 2 3 2 3" xfId="11426" xr:uid="{249A6B0E-BB2B-4B9F-B69E-D632258095EC}"/>
    <cellStyle name="Currency 5 3 2 2 3 2 4" xfId="19855" xr:uid="{386BBD62-F780-4FCE-8322-6FCE705C3BD2}"/>
    <cellStyle name="Currency 5 3 2 2 3 3" xfId="5070" xr:uid="{00000000-0005-0000-0000-0000A10C0000}"/>
    <cellStyle name="Currency 5 3 2 2 3 3 2" xfId="13499" xr:uid="{823EF3B8-8F4B-4FEF-B52C-AB5BCF65049A}"/>
    <cellStyle name="Currency 5 3 2 2 3 3 3" xfId="21927" xr:uid="{373F1F2A-1622-4443-AFCE-F9061B65706E}"/>
    <cellStyle name="Currency 5 3 2 2 3 4" xfId="9281" xr:uid="{6582F4AA-A37D-47BF-806A-E3DEA90EA26E}"/>
    <cellStyle name="Currency 5 3 2 2 3 5" xfId="17710" xr:uid="{1D68DF70-CE64-4F8B-B500-2FD0B887DF42}"/>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7" xr:uid="{C34390F1-1494-42FA-B721-A5DC3D320C22}"/>
    <cellStyle name="Currency 5 3 2 2 4 2 2 3" xfId="24485" xr:uid="{DD8A863B-7DAB-408B-9915-D4F18BBDC883}"/>
    <cellStyle name="Currency 5 3 2 2 4 2 3" xfId="11839" xr:uid="{B5C61B8C-2818-4F00-8791-265D5C350450}"/>
    <cellStyle name="Currency 5 3 2 2 4 2 4" xfId="20268" xr:uid="{EECD5E84-0076-48CD-8CED-C00E5AD42984}"/>
    <cellStyle name="Currency 5 3 2 2 4 3" xfId="5483" xr:uid="{00000000-0005-0000-0000-0000A50C0000}"/>
    <cellStyle name="Currency 5 3 2 2 4 3 2" xfId="13912" xr:uid="{A089AE50-ECF5-44A1-8B57-5E6C99544C7A}"/>
    <cellStyle name="Currency 5 3 2 2 4 3 3" xfId="22340" xr:uid="{95C726A9-0968-4181-B30F-64DAD2EA8F5B}"/>
    <cellStyle name="Currency 5 3 2 2 4 4" xfId="9694" xr:uid="{C9BECFE8-5FAD-4124-A4D0-923361931C43}"/>
    <cellStyle name="Currency 5 3 2 2 4 5" xfId="18123" xr:uid="{0F2C0E7C-7959-4339-B8BE-803D52F6DB41}"/>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70" xr:uid="{487C31B1-FB19-43B1-B549-D7779390D3BC}"/>
    <cellStyle name="Currency 5 3 2 2 5 2 2 3" xfId="24898" xr:uid="{3C2ED34B-53E5-42F7-965B-262DAF53773F}"/>
    <cellStyle name="Currency 5 3 2 2 5 2 3" xfId="12252" xr:uid="{6CAEA593-A94A-487A-B877-AD8A4C5577C0}"/>
    <cellStyle name="Currency 5 3 2 2 5 2 4" xfId="20681" xr:uid="{DEAEC292-E2FA-4ACE-AB05-B7DA63CC9E5B}"/>
    <cellStyle name="Currency 5 3 2 2 5 3" xfId="5896" xr:uid="{00000000-0005-0000-0000-0000A90C0000}"/>
    <cellStyle name="Currency 5 3 2 2 5 3 2" xfId="14325" xr:uid="{16F70A0C-BD6B-49B6-95FD-27E112F01746}"/>
    <cellStyle name="Currency 5 3 2 2 5 3 3" xfId="22753" xr:uid="{64394708-2C45-4D7B-8EDD-21AF7B2D4B19}"/>
    <cellStyle name="Currency 5 3 2 2 5 4" xfId="10107" xr:uid="{1D10FE56-5EE0-4073-86A2-100841E9BD45}"/>
    <cellStyle name="Currency 5 3 2 2 5 5" xfId="18536" xr:uid="{FD1F41DC-F4AD-4441-9134-00A635F8AA86}"/>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83" xr:uid="{32621ED9-9F4A-498A-8700-EB538B8396F2}"/>
    <cellStyle name="Currency 5 3 2 2 6 2 2 3" xfId="25311" xr:uid="{12D49BDE-DB86-4A16-940C-EA6156C1EF15}"/>
    <cellStyle name="Currency 5 3 2 2 6 2 3" xfId="12665" xr:uid="{B14EB991-7A84-4605-8D0B-587EBA75841E}"/>
    <cellStyle name="Currency 5 3 2 2 6 2 4" xfId="21094" xr:uid="{EE3EAAEE-2A37-4C69-9613-35ED74DCC2E7}"/>
    <cellStyle name="Currency 5 3 2 2 6 3" xfId="6309" xr:uid="{00000000-0005-0000-0000-0000AD0C0000}"/>
    <cellStyle name="Currency 5 3 2 2 6 3 2" xfId="14738" xr:uid="{B7FE6A92-AB57-4527-86B2-E8F5D74D4DC2}"/>
    <cellStyle name="Currency 5 3 2 2 6 3 3" xfId="23166" xr:uid="{0F787D5C-6824-439A-8417-2370C3256D99}"/>
    <cellStyle name="Currency 5 3 2 2 6 4" xfId="10520" xr:uid="{D2736EC8-3FDF-489F-A8E3-9EB28173C88C}"/>
    <cellStyle name="Currency 5 3 2 2 6 5" xfId="18949" xr:uid="{64536832-94D9-4626-8BA9-FA07B08F8BB7}"/>
    <cellStyle name="Currency 5 3 2 2 7" xfId="2436" xr:uid="{00000000-0005-0000-0000-0000AE0C0000}"/>
    <cellStyle name="Currency 5 3 2 2 7 2" xfId="6722" xr:uid="{00000000-0005-0000-0000-0000AF0C0000}"/>
    <cellStyle name="Currency 5 3 2 2 7 2 2" xfId="15151" xr:uid="{C9420762-0CF7-4CFF-8DF6-7ED7ACF6E046}"/>
    <cellStyle name="Currency 5 3 2 2 7 2 3" xfId="23579" xr:uid="{59FD640D-7BD7-4487-AB0D-9F25F1D36A9B}"/>
    <cellStyle name="Currency 5 3 2 2 7 3" xfId="10933" xr:uid="{52DD21CF-32DC-43FB-A1C7-A403EA3821FC}"/>
    <cellStyle name="Currency 5 3 2 2 7 4" xfId="19362" xr:uid="{80506105-A557-4395-B9B5-D05F05C7DB27}"/>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8" xr:uid="{7BD82D5E-18E7-404C-ACDE-DDEF7CB72FAD}"/>
    <cellStyle name="Currency 5 3 2 2 9 2 3" xfId="23896" xr:uid="{7A29AA8F-777A-4BCB-AB56-8F3C9B3AFCE3}"/>
    <cellStyle name="Currency 5 3 2 2 9 3" xfId="11250" xr:uid="{CBE75FEA-90B3-4463-B12F-32930C48A932}"/>
    <cellStyle name="Currency 5 3 2 2 9 4" xfId="19679" xr:uid="{8EC00A84-B1FD-4DB0-914B-0E4E9B36D71F}"/>
    <cellStyle name="Currency 5 3 2 3" xfId="213" xr:uid="{00000000-0005-0000-0000-0000B30C0000}"/>
    <cellStyle name="Currency 5 3 2 3 10" xfId="8869" xr:uid="{97A5C7B2-A5AD-4E6B-B505-25684F24FCE8}"/>
    <cellStyle name="Currency 5 3 2 3 11" xfId="17298" xr:uid="{EEA3CA0B-CBAD-452A-91CC-8443CB9256CC}"/>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46" xr:uid="{3D1FBFCD-970B-4446-99F6-3A86546E7443}"/>
    <cellStyle name="Currency 5 3 2 3 2 2 2 3" xfId="24074" xr:uid="{8036D515-1B3C-4864-8038-05D323E03054}"/>
    <cellStyle name="Currency 5 3 2 3 2 2 3" xfId="11428" xr:uid="{36C23DAA-5C49-4C66-867A-84B515548C3C}"/>
    <cellStyle name="Currency 5 3 2 3 2 2 4" xfId="19857" xr:uid="{C561B80D-0B79-4E9B-8DA9-0E1FC8EBF476}"/>
    <cellStyle name="Currency 5 3 2 3 2 3" xfId="5072" xr:uid="{00000000-0005-0000-0000-0000B70C0000}"/>
    <cellStyle name="Currency 5 3 2 3 2 3 2" xfId="13501" xr:uid="{A3F48042-9F73-4EAB-9697-28F28C85B24E}"/>
    <cellStyle name="Currency 5 3 2 3 2 3 3" xfId="21929" xr:uid="{2032A00B-CA25-4098-97E5-87784ED74DD1}"/>
    <cellStyle name="Currency 5 3 2 3 2 4" xfId="9283" xr:uid="{A7CB244D-62BA-4CF8-B44A-E8579BF5A118}"/>
    <cellStyle name="Currency 5 3 2 3 2 5" xfId="17712" xr:uid="{3FBE7A6F-CBC7-430C-912F-A2CA14E6B29B}"/>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9" xr:uid="{DCEB3DD3-A956-4A2E-975B-CC61DB71BFDE}"/>
    <cellStyle name="Currency 5 3 2 3 3 2 2 3" xfId="24487" xr:uid="{C6841F6F-5E36-457D-A0DB-A881CAC662D4}"/>
    <cellStyle name="Currency 5 3 2 3 3 2 3" xfId="11841" xr:uid="{C527A0CA-147C-4AB9-B91B-4E63E28C5839}"/>
    <cellStyle name="Currency 5 3 2 3 3 2 4" xfId="20270" xr:uid="{503669CC-75E7-4921-A37A-EB9EA29469DD}"/>
    <cellStyle name="Currency 5 3 2 3 3 3" xfId="5485" xr:uid="{00000000-0005-0000-0000-0000BB0C0000}"/>
    <cellStyle name="Currency 5 3 2 3 3 3 2" xfId="13914" xr:uid="{FE9C06B7-86D6-490D-BCDC-32EE259D66B8}"/>
    <cellStyle name="Currency 5 3 2 3 3 3 3" xfId="22342" xr:uid="{5A74204D-E639-421E-9F4E-A45BF8771E49}"/>
    <cellStyle name="Currency 5 3 2 3 3 4" xfId="9696" xr:uid="{8513B17B-C943-435F-9E82-18BA2E750207}"/>
    <cellStyle name="Currency 5 3 2 3 3 5" xfId="18125" xr:uid="{8BBFA4D2-DCEF-446B-912F-25D011C9E70A}"/>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72" xr:uid="{4B24D6DA-3852-47D2-BF4D-11DE48AEB69C}"/>
    <cellStyle name="Currency 5 3 2 3 4 2 2 3" xfId="24900" xr:uid="{A88A3B63-FA8F-499F-8E83-D25DAA8F0A6D}"/>
    <cellStyle name="Currency 5 3 2 3 4 2 3" xfId="12254" xr:uid="{C8817F53-4484-46AF-9CF7-246B36BE7456}"/>
    <cellStyle name="Currency 5 3 2 3 4 2 4" xfId="20683" xr:uid="{D6165BB0-1524-4C8B-9453-69633922CB88}"/>
    <cellStyle name="Currency 5 3 2 3 4 3" xfId="5898" xr:uid="{00000000-0005-0000-0000-0000BF0C0000}"/>
    <cellStyle name="Currency 5 3 2 3 4 3 2" xfId="14327" xr:uid="{EAF67259-8DCE-40ED-BEC8-62863D0C6D39}"/>
    <cellStyle name="Currency 5 3 2 3 4 3 3" xfId="22755" xr:uid="{3DF07AEB-7C60-4A38-85E0-6F62E7A06E5D}"/>
    <cellStyle name="Currency 5 3 2 3 4 4" xfId="10109" xr:uid="{81B31519-C22E-4FE9-B09A-ABDD4C6C0C99}"/>
    <cellStyle name="Currency 5 3 2 3 4 5" xfId="18538" xr:uid="{CCB4E428-31C7-42FF-9536-4789730F573F}"/>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85" xr:uid="{9D781E11-A8D6-479D-A399-9A62EA566082}"/>
    <cellStyle name="Currency 5 3 2 3 5 2 2 3" xfId="25313" xr:uid="{65CED665-20E6-4335-A47F-BBB465AE7953}"/>
    <cellStyle name="Currency 5 3 2 3 5 2 3" xfId="12667" xr:uid="{F002B54A-12E1-4877-A0CB-BE57D631A138}"/>
    <cellStyle name="Currency 5 3 2 3 5 2 4" xfId="21096" xr:uid="{690105D0-6D22-4242-B2D0-D3BF71671E20}"/>
    <cellStyle name="Currency 5 3 2 3 5 3" xfId="6311" xr:uid="{00000000-0005-0000-0000-0000C30C0000}"/>
    <cellStyle name="Currency 5 3 2 3 5 3 2" xfId="14740" xr:uid="{95436D6B-E8A8-4C92-8B7F-30D76866F381}"/>
    <cellStyle name="Currency 5 3 2 3 5 3 3" xfId="23168" xr:uid="{96FBBDE1-57D4-41DB-B03C-0CBBD028ED25}"/>
    <cellStyle name="Currency 5 3 2 3 5 4" xfId="10522" xr:uid="{DAE84054-0320-41B9-BCE0-EDAFE0AF908D}"/>
    <cellStyle name="Currency 5 3 2 3 5 5" xfId="18951" xr:uid="{EE035045-074F-4669-8CDD-519878E26AD8}"/>
    <cellStyle name="Currency 5 3 2 3 6" xfId="2438" xr:uid="{00000000-0005-0000-0000-0000C40C0000}"/>
    <cellStyle name="Currency 5 3 2 3 6 2" xfId="6724" xr:uid="{00000000-0005-0000-0000-0000C50C0000}"/>
    <cellStyle name="Currency 5 3 2 3 6 2 2" xfId="15153" xr:uid="{48CE83F3-6BDE-428E-8B42-511740360B40}"/>
    <cellStyle name="Currency 5 3 2 3 6 2 3" xfId="23581" xr:uid="{74C007CD-EA2E-49E3-8DCB-87832C04401F}"/>
    <cellStyle name="Currency 5 3 2 3 6 3" xfId="10935" xr:uid="{C4B4047F-4DC4-4B05-8297-8B1170373749}"/>
    <cellStyle name="Currency 5 3 2 3 6 4" xfId="19364" xr:uid="{450C3AE9-B6C9-4F51-BC96-6952336DD220}"/>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70" xr:uid="{A6FC4F18-441A-4A63-B6B4-E480C31013DC}"/>
    <cellStyle name="Currency 5 3 2 3 8 2 3" xfId="23898" xr:uid="{8235118D-2B14-4BFD-96FB-368AADE0778A}"/>
    <cellStyle name="Currency 5 3 2 3 8 3" xfId="11252" xr:uid="{0A9A996C-60A2-484D-B8B1-E26A56C79F42}"/>
    <cellStyle name="Currency 5 3 2 3 8 4" xfId="19681" xr:uid="{E9490109-A6F9-4CC5-9324-162E1FDBC486}"/>
    <cellStyle name="Currency 5 3 2 3 9" xfId="4658" xr:uid="{00000000-0005-0000-0000-0000C90C0000}"/>
    <cellStyle name="Currency 5 3 2 3 9 2" xfId="13087" xr:uid="{34F4E722-D13F-48ED-8904-6ECC7E7A9712}"/>
    <cellStyle name="Currency 5 3 2 3 9 3" xfId="21515" xr:uid="{63B9BDFD-BB58-491D-A5AD-D3301CCA1FC6}"/>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43" xr:uid="{563AAC74-E487-497A-BD74-C104455950B2}"/>
    <cellStyle name="Currency 5 3 2 4 2 2 3" xfId="24071" xr:uid="{B285D644-5B28-41CE-9E3B-8FE5BC5B8D17}"/>
    <cellStyle name="Currency 5 3 2 4 2 3" xfId="11425" xr:uid="{AF4096A4-B334-44A4-AC50-959949DD15D1}"/>
    <cellStyle name="Currency 5 3 2 4 2 4" xfId="19854" xr:uid="{02494F1B-D9A8-4BAD-A945-571DD30CBC7E}"/>
    <cellStyle name="Currency 5 3 2 4 3" xfId="5069" xr:uid="{00000000-0005-0000-0000-0000CD0C0000}"/>
    <cellStyle name="Currency 5 3 2 4 3 2" xfId="13498" xr:uid="{F37EDF0D-D1F7-41C3-AC04-C6811646CAB3}"/>
    <cellStyle name="Currency 5 3 2 4 3 3" xfId="21926" xr:uid="{AA274981-1F38-40C2-9A68-E91FC923B308}"/>
    <cellStyle name="Currency 5 3 2 4 4" xfId="9280" xr:uid="{0C5CB9A2-C347-4D6B-8D23-496D627542BC}"/>
    <cellStyle name="Currency 5 3 2 4 5" xfId="17709" xr:uid="{A85EBE7F-4DA7-4FBE-B2B2-6480F6DF18F3}"/>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56" xr:uid="{03E01158-00E0-4BE8-A096-BAC9F9D529B7}"/>
    <cellStyle name="Currency 5 3 2 5 2 2 3" xfId="24484" xr:uid="{7B81C2F5-41AD-409D-BBC8-50A2D41DB9F8}"/>
    <cellStyle name="Currency 5 3 2 5 2 3" xfId="11838" xr:uid="{927A5D68-33BA-466D-8ADF-507D9055039A}"/>
    <cellStyle name="Currency 5 3 2 5 2 4" xfId="20267" xr:uid="{FF9F1981-4A69-4E63-9AF5-0A07437AC23A}"/>
    <cellStyle name="Currency 5 3 2 5 3" xfId="5482" xr:uid="{00000000-0005-0000-0000-0000D10C0000}"/>
    <cellStyle name="Currency 5 3 2 5 3 2" xfId="13911" xr:uid="{19CB7E20-51D6-42A8-92D7-5057ECF44318}"/>
    <cellStyle name="Currency 5 3 2 5 3 3" xfId="22339" xr:uid="{12E47FFB-F547-41C1-872A-0669D7DF4084}"/>
    <cellStyle name="Currency 5 3 2 5 4" xfId="9693" xr:uid="{B37D39E5-0EDC-4C77-A379-4E9DF1A49D77}"/>
    <cellStyle name="Currency 5 3 2 5 5" xfId="18122" xr:uid="{CDEC451D-9986-449D-BB8C-47861669D551}"/>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9" xr:uid="{E75FF684-CDEB-4BB5-A3DE-C2EE8C879AB7}"/>
    <cellStyle name="Currency 5 3 2 6 2 2 3" xfId="24897" xr:uid="{68F7D077-08EA-464A-803B-9D4A767FB735}"/>
    <cellStyle name="Currency 5 3 2 6 2 3" xfId="12251" xr:uid="{B5B3906B-60AF-4516-8264-EBD150408D6B}"/>
    <cellStyle name="Currency 5 3 2 6 2 4" xfId="20680" xr:uid="{74267158-416F-426C-8E34-C0FB9D455B0A}"/>
    <cellStyle name="Currency 5 3 2 6 3" xfId="5895" xr:uid="{00000000-0005-0000-0000-0000D50C0000}"/>
    <cellStyle name="Currency 5 3 2 6 3 2" xfId="14324" xr:uid="{D3A3C2A1-B525-4323-BA83-C25B47825561}"/>
    <cellStyle name="Currency 5 3 2 6 3 3" xfId="22752" xr:uid="{57D03704-91B4-43FD-9418-D26DE54FE116}"/>
    <cellStyle name="Currency 5 3 2 6 4" xfId="10106" xr:uid="{D4BE59BC-74F0-4D45-9063-1E52B9B648EF}"/>
    <cellStyle name="Currency 5 3 2 6 5" xfId="18535" xr:uid="{0F1436D5-6CDC-4F1E-8E41-C07B113F5B2C}"/>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82" xr:uid="{46E25170-81DB-425A-B895-D9F7A9652253}"/>
    <cellStyle name="Currency 5 3 2 7 2 2 3" xfId="25310" xr:uid="{8D6DE3B9-2529-4213-84F0-D55FDD9EFF31}"/>
    <cellStyle name="Currency 5 3 2 7 2 3" xfId="12664" xr:uid="{61731F5A-443F-41DC-A319-69D126E6B429}"/>
    <cellStyle name="Currency 5 3 2 7 2 4" xfId="21093" xr:uid="{E700E191-CACB-49D1-AE28-E7A3B13C5645}"/>
    <cellStyle name="Currency 5 3 2 7 3" xfId="6308" xr:uid="{00000000-0005-0000-0000-0000D90C0000}"/>
    <cellStyle name="Currency 5 3 2 7 3 2" xfId="14737" xr:uid="{CFEABB0E-56DF-4604-A133-2182DF239E87}"/>
    <cellStyle name="Currency 5 3 2 7 3 3" xfId="23165" xr:uid="{991C2FE9-339D-43AE-97DA-D9A31BB90211}"/>
    <cellStyle name="Currency 5 3 2 7 4" xfId="10519" xr:uid="{E9124D0B-2BB8-4D1B-A1E5-8EE206423859}"/>
    <cellStyle name="Currency 5 3 2 7 5" xfId="18948" xr:uid="{8AF596FB-EC9F-4CB9-9EAE-A3899B922122}"/>
    <cellStyle name="Currency 5 3 2 8" xfId="2435" xr:uid="{00000000-0005-0000-0000-0000DA0C0000}"/>
    <cellStyle name="Currency 5 3 2 8 2" xfId="6721" xr:uid="{00000000-0005-0000-0000-0000DB0C0000}"/>
    <cellStyle name="Currency 5 3 2 8 2 2" xfId="15150" xr:uid="{773B537D-AEA1-4AF3-961F-18899AEBCA75}"/>
    <cellStyle name="Currency 5 3 2 8 2 3" xfId="23578" xr:uid="{D5256B76-8641-4B3B-A5BA-F209E2825995}"/>
    <cellStyle name="Currency 5 3 2 8 3" xfId="10932" xr:uid="{78C0BD17-05F0-4687-83F8-F114F8B64F77}"/>
    <cellStyle name="Currency 5 3 2 8 4" xfId="19361" xr:uid="{BBD4AFBA-53A7-449D-A2E6-CC15CFC96F86}"/>
    <cellStyle name="Currency 5 3 2 9" xfId="2732" xr:uid="{00000000-0005-0000-0000-0000DC0C0000}"/>
    <cellStyle name="Currency 5 3 3" xfId="214" xr:uid="{00000000-0005-0000-0000-0000DD0C0000}"/>
    <cellStyle name="Currency 5 3 3 10" xfId="4659" xr:uid="{00000000-0005-0000-0000-0000DE0C0000}"/>
    <cellStyle name="Currency 5 3 3 10 2" xfId="13088" xr:uid="{60C2399B-1A93-4360-A754-245F1384B198}"/>
    <cellStyle name="Currency 5 3 3 10 3" xfId="21516" xr:uid="{6289870B-5065-4B83-917C-F769265DCE74}"/>
    <cellStyle name="Currency 5 3 3 11" xfId="8870" xr:uid="{72D785C7-06DF-45DB-8780-46D257EDF059}"/>
    <cellStyle name="Currency 5 3 3 12" xfId="17299" xr:uid="{A23393B7-1DC5-4428-AF04-09C5ED26F3CF}"/>
    <cellStyle name="Currency 5 3 3 2" xfId="215" xr:uid="{00000000-0005-0000-0000-0000DF0C0000}"/>
    <cellStyle name="Currency 5 3 3 2 10" xfId="8871" xr:uid="{8F362584-F7E1-481C-91BC-1246B29D8590}"/>
    <cellStyle name="Currency 5 3 3 2 11" xfId="17300" xr:uid="{261572C8-E91E-49DD-93F2-C305E3426ACB}"/>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8" xr:uid="{0902E1B2-DB5E-4F71-8FF0-72B592E65328}"/>
    <cellStyle name="Currency 5 3 3 2 2 2 2 3" xfId="24076" xr:uid="{97D8D93A-79C8-46D9-86EE-1BA4E2B2EE1A}"/>
    <cellStyle name="Currency 5 3 3 2 2 2 3" xfId="11430" xr:uid="{6B0A91B7-4AA9-4F08-9C36-D742B3B477A2}"/>
    <cellStyle name="Currency 5 3 3 2 2 2 4" xfId="19859" xr:uid="{92AF0469-727D-4A9E-83CA-F7B40C6EF204}"/>
    <cellStyle name="Currency 5 3 3 2 2 3" xfId="5074" xr:uid="{00000000-0005-0000-0000-0000E30C0000}"/>
    <cellStyle name="Currency 5 3 3 2 2 3 2" xfId="13503" xr:uid="{4CE01D7B-F88A-47B4-827B-524730BFB5A4}"/>
    <cellStyle name="Currency 5 3 3 2 2 3 3" xfId="21931" xr:uid="{5F5DD363-F198-4D40-BCD3-EEB46E5D9869}"/>
    <cellStyle name="Currency 5 3 3 2 2 4" xfId="9285" xr:uid="{99B53ED1-1C95-4244-94B7-1C6F0E5E5C04}"/>
    <cellStyle name="Currency 5 3 3 2 2 5" xfId="17714" xr:uid="{D946C49F-9E42-49AB-8458-706136D83CDE}"/>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61" xr:uid="{F7A34E33-37F3-4777-A183-C41375824E26}"/>
    <cellStyle name="Currency 5 3 3 2 3 2 2 3" xfId="24489" xr:uid="{C6537528-BFDE-4D7D-88DE-82C49DCB38C9}"/>
    <cellStyle name="Currency 5 3 3 2 3 2 3" xfId="11843" xr:uid="{0745DEEC-8541-4A83-AE9E-3122746A6342}"/>
    <cellStyle name="Currency 5 3 3 2 3 2 4" xfId="20272" xr:uid="{DC3DE519-EDF2-4826-9D00-452E34283ECF}"/>
    <cellStyle name="Currency 5 3 3 2 3 3" xfId="5487" xr:uid="{00000000-0005-0000-0000-0000E70C0000}"/>
    <cellStyle name="Currency 5 3 3 2 3 3 2" xfId="13916" xr:uid="{7456CD87-3CEB-4683-8B40-5911640014E9}"/>
    <cellStyle name="Currency 5 3 3 2 3 3 3" xfId="22344" xr:uid="{392335E1-0A51-4439-83E2-61F28A3358CF}"/>
    <cellStyle name="Currency 5 3 3 2 3 4" xfId="9698" xr:uid="{5378A9EE-DDC4-4083-8287-4D723A2B2BD2}"/>
    <cellStyle name="Currency 5 3 3 2 3 5" xfId="18127" xr:uid="{D9222A52-2B0E-4C2C-8372-5DDA3250D7BE}"/>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74" xr:uid="{BFC5A6C1-1C64-495F-8F0A-1AD817734232}"/>
    <cellStyle name="Currency 5 3 3 2 4 2 2 3" xfId="24902" xr:uid="{53B4C69B-A15F-46B3-BD00-6A5F5B436E86}"/>
    <cellStyle name="Currency 5 3 3 2 4 2 3" xfId="12256" xr:uid="{87A680DC-5F4D-423D-B900-978776F163E8}"/>
    <cellStyle name="Currency 5 3 3 2 4 2 4" xfId="20685" xr:uid="{A7020F4C-4B14-4A4E-96F2-72F2C927DAE7}"/>
    <cellStyle name="Currency 5 3 3 2 4 3" xfId="5900" xr:uid="{00000000-0005-0000-0000-0000EB0C0000}"/>
    <cellStyle name="Currency 5 3 3 2 4 3 2" xfId="14329" xr:uid="{31CA9D42-F2BF-4765-8A71-3213FEC56241}"/>
    <cellStyle name="Currency 5 3 3 2 4 3 3" xfId="22757" xr:uid="{E0B6114C-40A1-42B1-963F-AAF1AD8C9241}"/>
    <cellStyle name="Currency 5 3 3 2 4 4" xfId="10111" xr:uid="{F6EEBB96-9528-4AC6-A0BD-7F5059000263}"/>
    <cellStyle name="Currency 5 3 3 2 4 5" xfId="18540" xr:uid="{AFEAB677-419B-4107-B8A6-1E7C2D35B81E}"/>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7" xr:uid="{3E300D22-5EA2-4A2C-8AA9-D0FE01D0488E}"/>
    <cellStyle name="Currency 5 3 3 2 5 2 2 3" xfId="25315" xr:uid="{7E45392D-D4EE-493E-8D4C-28521BCCD92D}"/>
    <cellStyle name="Currency 5 3 3 2 5 2 3" xfId="12669" xr:uid="{1027BE6E-4EA1-451D-8BF9-855713F645B4}"/>
    <cellStyle name="Currency 5 3 3 2 5 2 4" xfId="21098" xr:uid="{4A2B204D-20A6-4A6B-BAC3-18861D98FE2C}"/>
    <cellStyle name="Currency 5 3 3 2 5 3" xfId="6313" xr:uid="{00000000-0005-0000-0000-0000EF0C0000}"/>
    <cellStyle name="Currency 5 3 3 2 5 3 2" xfId="14742" xr:uid="{CF6A85E1-D867-4571-B7DA-FD418A37AE6E}"/>
    <cellStyle name="Currency 5 3 3 2 5 3 3" xfId="23170" xr:uid="{ECA8651F-23F3-47D9-AAF7-FFDB97BEE9BF}"/>
    <cellStyle name="Currency 5 3 3 2 5 4" xfId="10524" xr:uid="{C4BB2A9D-7698-4697-89E9-73FC5385651A}"/>
    <cellStyle name="Currency 5 3 3 2 5 5" xfId="18953" xr:uid="{CCBB82C7-5BFA-485C-A280-869594750CEE}"/>
    <cellStyle name="Currency 5 3 3 2 6" xfId="2440" xr:uid="{00000000-0005-0000-0000-0000F00C0000}"/>
    <cellStyle name="Currency 5 3 3 2 6 2" xfId="6726" xr:uid="{00000000-0005-0000-0000-0000F10C0000}"/>
    <cellStyle name="Currency 5 3 3 2 6 2 2" xfId="15155" xr:uid="{9A70C0F8-986C-4F68-A9F8-2BC4F13E9AB4}"/>
    <cellStyle name="Currency 5 3 3 2 6 2 3" xfId="23583" xr:uid="{DE2FD94C-1426-455B-AEA8-EB9A8C7FD700}"/>
    <cellStyle name="Currency 5 3 3 2 6 3" xfId="10937" xr:uid="{38050673-1463-4DC7-80E8-F64CCA47E38D}"/>
    <cellStyle name="Currency 5 3 3 2 6 4" xfId="19366" xr:uid="{C9B9A3A0-A804-4187-9F8E-0DDF7C504838}"/>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72" xr:uid="{D5610EFD-0C33-4634-BC1C-1188460A7735}"/>
    <cellStyle name="Currency 5 3 3 2 8 2 3" xfId="23900" xr:uid="{F8326D9F-9565-49E8-949C-533817E11B8C}"/>
    <cellStyle name="Currency 5 3 3 2 8 3" xfId="11254" xr:uid="{E04529AC-CF35-45E9-AF34-1D6443FD9C97}"/>
    <cellStyle name="Currency 5 3 3 2 8 4" xfId="19683" xr:uid="{AB4A53E1-6D31-4CAF-89CA-11AA9B43F380}"/>
    <cellStyle name="Currency 5 3 3 2 9" xfId="4660" xr:uid="{00000000-0005-0000-0000-0000F50C0000}"/>
    <cellStyle name="Currency 5 3 3 2 9 2" xfId="13089" xr:uid="{3563E916-652F-433A-AB3E-4A1415DA390B}"/>
    <cellStyle name="Currency 5 3 3 2 9 3" xfId="21517" xr:uid="{4C4FCC5B-B8D7-47EE-B8E4-4B3436275F80}"/>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7" xr:uid="{CF336EA3-38AC-4A2F-B41E-D73C4C689459}"/>
    <cellStyle name="Currency 5 3 3 3 2 2 3" xfId="24075" xr:uid="{72E75F0F-9BF3-4E1C-A8E9-C14EFFEC2AD3}"/>
    <cellStyle name="Currency 5 3 3 3 2 3" xfId="11429" xr:uid="{5BE952D3-E800-43BD-AE8B-B0BB60329D33}"/>
    <cellStyle name="Currency 5 3 3 3 2 4" xfId="19858" xr:uid="{41545AEB-B7EB-45EB-8BCF-FCCE5650DCC1}"/>
    <cellStyle name="Currency 5 3 3 3 3" xfId="5073" xr:uid="{00000000-0005-0000-0000-0000F90C0000}"/>
    <cellStyle name="Currency 5 3 3 3 3 2" xfId="13502" xr:uid="{FE12D916-5383-411A-8908-0F4C2E60FCA7}"/>
    <cellStyle name="Currency 5 3 3 3 3 3" xfId="21930" xr:uid="{10E21109-CB0B-45AC-9BDF-D03C4153871B}"/>
    <cellStyle name="Currency 5 3 3 3 4" xfId="9284" xr:uid="{98564EA6-8E5B-480B-90B2-489789EE2120}"/>
    <cellStyle name="Currency 5 3 3 3 5" xfId="17713" xr:uid="{0043DF0E-9103-48AE-8ABC-0DA021F849FF}"/>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60" xr:uid="{E334678A-093C-4D6D-9602-1405B7572D7C}"/>
    <cellStyle name="Currency 5 3 3 4 2 2 3" xfId="24488" xr:uid="{0618ED1A-35F2-4CCB-B2BC-A74C8749E9AF}"/>
    <cellStyle name="Currency 5 3 3 4 2 3" xfId="11842" xr:uid="{E0604A47-617C-486F-86AE-0E5EF7E8BED8}"/>
    <cellStyle name="Currency 5 3 3 4 2 4" xfId="20271" xr:uid="{EDD65CB7-E89C-4D35-9857-5B962AD3EC00}"/>
    <cellStyle name="Currency 5 3 3 4 3" xfId="5486" xr:uid="{00000000-0005-0000-0000-0000FD0C0000}"/>
    <cellStyle name="Currency 5 3 3 4 3 2" xfId="13915" xr:uid="{32E4BA5F-80C5-4DE5-8A24-978D3EFA0569}"/>
    <cellStyle name="Currency 5 3 3 4 3 3" xfId="22343" xr:uid="{DC7112CE-CDE0-4A9B-9F72-3F914CA808BA}"/>
    <cellStyle name="Currency 5 3 3 4 4" xfId="9697" xr:uid="{6287F552-C89D-4254-8CE0-AD3257AB6AD3}"/>
    <cellStyle name="Currency 5 3 3 4 5" xfId="18126" xr:uid="{1912E93A-014F-4D21-AB1B-54ECDBD4CF81}"/>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73" xr:uid="{F28AA31B-A3EA-4712-BEBA-8995873ADBA3}"/>
    <cellStyle name="Currency 5 3 3 5 2 2 3" xfId="24901" xr:uid="{261FBD08-44D5-4AC7-8FC9-6557DBD27815}"/>
    <cellStyle name="Currency 5 3 3 5 2 3" xfId="12255" xr:uid="{B5C292E7-7F1E-4911-B29A-3CD38B8A7C8E}"/>
    <cellStyle name="Currency 5 3 3 5 2 4" xfId="20684" xr:uid="{2E288C02-832E-4763-9C3B-EDE659A95544}"/>
    <cellStyle name="Currency 5 3 3 5 3" xfId="5899" xr:uid="{00000000-0005-0000-0000-0000010D0000}"/>
    <cellStyle name="Currency 5 3 3 5 3 2" xfId="14328" xr:uid="{7A82C42B-F9F1-46E6-9C30-53F14EEBAA1F}"/>
    <cellStyle name="Currency 5 3 3 5 3 3" xfId="22756" xr:uid="{B2EC38FC-A311-4844-AB7C-4CB63AEA31A5}"/>
    <cellStyle name="Currency 5 3 3 5 4" xfId="10110" xr:uid="{5462FCEB-6FDD-4028-8E23-EE45050356E3}"/>
    <cellStyle name="Currency 5 3 3 5 5" xfId="18539" xr:uid="{FCFBE374-816B-43C5-9C52-540D2845FF43}"/>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86" xr:uid="{8E05F3F3-C7FD-4E67-9449-617CBF418517}"/>
    <cellStyle name="Currency 5 3 3 6 2 2 3" xfId="25314" xr:uid="{A7A538A3-AF3B-4A21-ADA5-9D0A33E45D5E}"/>
    <cellStyle name="Currency 5 3 3 6 2 3" xfId="12668" xr:uid="{FD83F0BA-A07D-499D-B1CF-E196ED196A2C}"/>
    <cellStyle name="Currency 5 3 3 6 2 4" xfId="21097" xr:uid="{DBDB6078-14BD-405D-8C08-21D3E7D0693E}"/>
    <cellStyle name="Currency 5 3 3 6 3" xfId="6312" xr:uid="{00000000-0005-0000-0000-0000050D0000}"/>
    <cellStyle name="Currency 5 3 3 6 3 2" xfId="14741" xr:uid="{5CF01461-6CFA-4E96-AC36-529E1F837F86}"/>
    <cellStyle name="Currency 5 3 3 6 3 3" xfId="23169" xr:uid="{71D94314-4BF4-44D5-B128-A7A9420EDDF9}"/>
    <cellStyle name="Currency 5 3 3 6 4" xfId="10523" xr:uid="{6DF97A91-04F6-46B5-87CD-1FE3AC1E6285}"/>
    <cellStyle name="Currency 5 3 3 6 5" xfId="18952" xr:uid="{D358A507-38F9-4531-B398-CAF0A095B44E}"/>
    <cellStyle name="Currency 5 3 3 7" xfId="2439" xr:uid="{00000000-0005-0000-0000-0000060D0000}"/>
    <cellStyle name="Currency 5 3 3 7 2" xfId="6725" xr:uid="{00000000-0005-0000-0000-0000070D0000}"/>
    <cellStyle name="Currency 5 3 3 7 2 2" xfId="15154" xr:uid="{C0998B83-1C41-40A8-9C6A-9E323C00A871}"/>
    <cellStyle name="Currency 5 3 3 7 2 3" xfId="23582" xr:uid="{63D3BE50-E903-4A94-B475-B368FAC5674D}"/>
    <cellStyle name="Currency 5 3 3 7 3" xfId="10936" xr:uid="{152D34D1-D8D6-4A47-B1A4-D0065CD60AA8}"/>
    <cellStyle name="Currency 5 3 3 7 4" xfId="19365" xr:uid="{B7BE4843-DBEF-4CE8-90A3-A1C948AEDBD1}"/>
    <cellStyle name="Currency 5 3 3 8" xfId="2736" xr:uid="{00000000-0005-0000-0000-0000080D0000}"/>
    <cellStyle name="Currency 5 3 3 9" xfId="2817" xr:uid="{00000000-0005-0000-0000-0000090D0000}"/>
    <cellStyle name="Currency 5 3 3 9 2" xfId="7042" xr:uid="{00000000-0005-0000-0000-00000A0D0000}"/>
    <cellStyle name="Currency 5 3 3 9 2 2" xfId="15471" xr:uid="{321800CB-C93C-4806-8023-2063376908DD}"/>
    <cellStyle name="Currency 5 3 3 9 2 3" xfId="23899" xr:uid="{E1604504-C6E8-47C7-8790-95CC8FC3A929}"/>
    <cellStyle name="Currency 5 3 3 9 3" xfId="11253" xr:uid="{E3820E95-2352-49AB-B85C-2204D3065F17}"/>
    <cellStyle name="Currency 5 3 3 9 4" xfId="19682" xr:uid="{DB8EFA3E-C4FE-47B4-A75C-F7AF44013E74}"/>
    <cellStyle name="Currency 5 3 4" xfId="216" xr:uid="{00000000-0005-0000-0000-00000B0D0000}"/>
    <cellStyle name="Currency 5 3 4 10" xfId="8872" xr:uid="{C362BEC2-5C4D-43AB-81E0-BF6D841D0168}"/>
    <cellStyle name="Currency 5 3 4 11" xfId="17301" xr:uid="{043ED4A5-D697-464D-9415-3DAAB3C5F49C}"/>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9" xr:uid="{9F39D705-D220-4B00-B4FD-77261BE18F0A}"/>
    <cellStyle name="Currency 5 3 4 2 2 2 3" xfId="24077" xr:uid="{A5785365-DDAE-4333-9F1B-A24197F63410}"/>
    <cellStyle name="Currency 5 3 4 2 2 3" xfId="11431" xr:uid="{AF52C165-5397-40B6-9540-676152329256}"/>
    <cellStyle name="Currency 5 3 4 2 2 4" xfId="19860" xr:uid="{2C3EA1A7-204A-4B38-9EEF-65E6C7791B4B}"/>
    <cellStyle name="Currency 5 3 4 2 3" xfId="5075" xr:uid="{00000000-0005-0000-0000-00000F0D0000}"/>
    <cellStyle name="Currency 5 3 4 2 3 2" xfId="13504" xr:uid="{C0B7C3D7-D39D-49D8-A66F-371478F906D9}"/>
    <cellStyle name="Currency 5 3 4 2 3 3" xfId="21932" xr:uid="{F0A287DA-D040-4AAA-95CD-7C6118731721}"/>
    <cellStyle name="Currency 5 3 4 2 4" xfId="9286" xr:uid="{4E795915-33AC-412E-A6B7-6FF913D5C68F}"/>
    <cellStyle name="Currency 5 3 4 2 5" xfId="17715" xr:uid="{DE042E61-82E2-4995-811A-9F5BFD68210B}"/>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62" xr:uid="{48609596-9217-4318-86A4-50DA58B9162B}"/>
    <cellStyle name="Currency 5 3 4 3 2 2 3" xfId="24490" xr:uid="{C8BE8666-8F70-4E27-A679-B80E5B39DAEE}"/>
    <cellStyle name="Currency 5 3 4 3 2 3" xfId="11844" xr:uid="{81E79689-9E0B-42AA-9D90-2CF4A900EA2C}"/>
    <cellStyle name="Currency 5 3 4 3 2 4" xfId="20273" xr:uid="{7A4D980A-DE83-4233-A2FF-9A42642F3325}"/>
    <cellStyle name="Currency 5 3 4 3 3" xfId="5488" xr:uid="{00000000-0005-0000-0000-0000130D0000}"/>
    <cellStyle name="Currency 5 3 4 3 3 2" xfId="13917" xr:uid="{77D2DC14-061E-4808-862A-B9ADDDFE6883}"/>
    <cellStyle name="Currency 5 3 4 3 3 3" xfId="22345" xr:uid="{A9FA0FA6-A73E-4C37-8F01-44AA2B02BDDC}"/>
    <cellStyle name="Currency 5 3 4 3 4" xfId="9699" xr:uid="{2C07D5DC-E4AC-445F-863B-2C810C3E64B2}"/>
    <cellStyle name="Currency 5 3 4 3 5" xfId="18128" xr:uid="{16EFD9E9-7866-4688-AE31-C390189F04CD}"/>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75" xr:uid="{F22F30ED-3E5C-47E8-B22A-FE7F5D1C1C96}"/>
    <cellStyle name="Currency 5 3 4 4 2 2 3" xfId="24903" xr:uid="{8D78ADF1-32E3-4A3E-B767-8EF72E07C3F0}"/>
    <cellStyle name="Currency 5 3 4 4 2 3" xfId="12257" xr:uid="{625B410B-BE51-4424-98FB-EE08C131C82A}"/>
    <cellStyle name="Currency 5 3 4 4 2 4" xfId="20686" xr:uid="{54F94544-091C-4999-ABCF-303B595B2047}"/>
    <cellStyle name="Currency 5 3 4 4 3" xfId="5901" xr:uid="{00000000-0005-0000-0000-0000170D0000}"/>
    <cellStyle name="Currency 5 3 4 4 3 2" xfId="14330" xr:uid="{25B71CC1-A8BB-464E-90F0-D7070EEAD60B}"/>
    <cellStyle name="Currency 5 3 4 4 3 3" xfId="22758" xr:uid="{1263B07F-CF73-44D4-88A6-AD9E0FEE954A}"/>
    <cellStyle name="Currency 5 3 4 4 4" xfId="10112" xr:uid="{4BA2CA8E-F68A-4EAA-89DC-6035747256F6}"/>
    <cellStyle name="Currency 5 3 4 4 5" xfId="18541" xr:uid="{EE0C60D6-442D-47D3-A833-43E6AEC2E84A}"/>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8" xr:uid="{E02A37D4-516E-400B-ADFE-6F53D6078145}"/>
    <cellStyle name="Currency 5 3 4 5 2 2 3" xfId="25316" xr:uid="{7C81EA5E-F1B2-41DA-A1F7-32D54D88E715}"/>
    <cellStyle name="Currency 5 3 4 5 2 3" xfId="12670" xr:uid="{C3ECA375-F8EB-4A52-B705-6D5AB95C196C}"/>
    <cellStyle name="Currency 5 3 4 5 2 4" xfId="21099" xr:uid="{6F72A4D6-3A26-4CE6-AA76-579D4D8EA114}"/>
    <cellStyle name="Currency 5 3 4 5 3" xfId="6314" xr:uid="{00000000-0005-0000-0000-00001B0D0000}"/>
    <cellStyle name="Currency 5 3 4 5 3 2" xfId="14743" xr:uid="{E0235407-16EE-4E94-97A4-28423407413C}"/>
    <cellStyle name="Currency 5 3 4 5 3 3" xfId="23171" xr:uid="{EAED71A5-CA4D-4D67-8C3B-611A923725BE}"/>
    <cellStyle name="Currency 5 3 4 5 4" xfId="10525" xr:uid="{B631E23B-DF44-4A7F-8EB1-B50448DD058C}"/>
    <cellStyle name="Currency 5 3 4 5 5" xfId="18954" xr:uid="{7D65DF16-2DA9-4605-83A2-547918D19E1A}"/>
    <cellStyle name="Currency 5 3 4 6" xfId="2441" xr:uid="{00000000-0005-0000-0000-00001C0D0000}"/>
    <cellStyle name="Currency 5 3 4 6 2" xfId="6727" xr:uid="{00000000-0005-0000-0000-00001D0D0000}"/>
    <cellStyle name="Currency 5 3 4 6 2 2" xfId="15156" xr:uid="{62A6EFA9-1345-4E6D-9F54-8645FE682721}"/>
    <cellStyle name="Currency 5 3 4 6 2 3" xfId="23584" xr:uid="{0908E4F2-1341-4371-8991-D5E4B9DBC1B2}"/>
    <cellStyle name="Currency 5 3 4 6 3" xfId="10938" xr:uid="{68D7DF41-6047-4FF8-AE5D-583ECC95BBBB}"/>
    <cellStyle name="Currency 5 3 4 6 4" xfId="19367" xr:uid="{81109A9C-F0E4-4C4E-90EE-F3E03221131C}"/>
    <cellStyle name="Currency 5 3 4 7" xfId="2738" xr:uid="{00000000-0005-0000-0000-00001E0D0000}"/>
    <cellStyle name="Currency 5 3 4 8" xfId="2819" xr:uid="{00000000-0005-0000-0000-00001F0D0000}"/>
    <cellStyle name="Currency 5 3 4 8 2" xfId="7044" xr:uid="{00000000-0005-0000-0000-0000200D0000}"/>
    <cellStyle name="Currency 5 3 4 8 2 2" xfId="15473" xr:uid="{F4C987FB-D6EA-404F-8357-EE874D555942}"/>
    <cellStyle name="Currency 5 3 4 8 2 3" xfId="23901" xr:uid="{B7977E4D-143F-4DC4-A7B5-325E8E1AF6DA}"/>
    <cellStyle name="Currency 5 3 4 8 3" xfId="11255" xr:uid="{D2B7DA10-3370-4849-9C39-ED58FE272AA2}"/>
    <cellStyle name="Currency 5 3 4 8 4" xfId="19684" xr:uid="{D2057317-F037-40D2-A193-36955A9AE433}"/>
    <cellStyle name="Currency 5 3 4 9" xfId="4661" xr:uid="{00000000-0005-0000-0000-0000210D0000}"/>
    <cellStyle name="Currency 5 3 4 9 2" xfId="13090" xr:uid="{44FAC3CD-A720-4CE7-8D3C-F2FED3F4C934}"/>
    <cellStyle name="Currency 5 3 4 9 3" xfId="21518" xr:uid="{F01656A7-CB4B-4A1B-B7B7-0A19D9839407}"/>
    <cellStyle name="Currency 5 3 5" xfId="217" xr:uid="{00000000-0005-0000-0000-0000220D0000}"/>
    <cellStyle name="Currency 5 3 5 10" xfId="8873" xr:uid="{1B098B37-F43F-4F87-9F52-2582D00399BA}"/>
    <cellStyle name="Currency 5 3 5 11" xfId="17302" xr:uid="{28681538-D141-4BC4-97B5-1366C6A401DA}"/>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50" xr:uid="{ACDEB0DC-9060-4A86-B5BC-63A7353F441C}"/>
    <cellStyle name="Currency 5 3 5 2 2 2 3" xfId="24078" xr:uid="{0877428C-47D9-4AB2-BF58-70434109FA20}"/>
    <cellStyle name="Currency 5 3 5 2 2 3" xfId="11432" xr:uid="{D113CF83-209A-487B-9CCA-A4C2C356826D}"/>
    <cellStyle name="Currency 5 3 5 2 2 4" xfId="19861" xr:uid="{7F02F5CC-E44C-4915-972C-F1187521EF32}"/>
    <cellStyle name="Currency 5 3 5 2 3" xfId="5076" xr:uid="{00000000-0005-0000-0000-0000260D0000}"/>
    <cellStyle name="Currency 5 3 5 2 3 2" xfId="13505" xr:uid="{66FEDE87-C240-453B-9AC8-75DD2FBA9615}"/>
    <cellStyle name="Currency 5 3 5 2 3 3" xfId="21933" xr:uid="{0B019AF6-8CF3-4845-A429-B946EEEBFD04}"/>
    <cellStyle name="Currency 5 3 5 2 4" xfId="9287" xr:uid="{7569C8B5-A02C-447D-8097-BB2348EFE159}"/>
    <cellStyle name="Currency 5 3 5 2 5" xfId="17716" xr:uid="{A3144C98-FDA1-447A-AA52-F34297317BF5}"/>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63" xr:uid="{EF114574-CBE1-4A2E-A6C0-AE02C4FCE042}"/>
    <cellStyle name="Currency 5 3 5 3 2 2 3" xfId="24491" xr:uid="{5D93FE46-04A1-49A0-824F-034E05FCA4D5}"/>
    <cellStyle name="Currency 5 3 5 3 2 3" xfId="11845" xr:uid="{466731D7-64EA-4C9E-9AAC-004B7E486587}"/>
    <cellStyle name="Currency 5 3 5 3 2 4" xfId="20274" xr:uid="{91120EA9-1577-4283-9C4F-7172DB379991}"/>
    <cellStyle name="Currency 5 3 5 3 3" xfId="5489" xr:uid="{00000000-0005-0000-0000-00002A0D0000}"/>
    <cellStyle name="Currency 5 3 5 3 3 2" xfId="13918" xr:uid="{10E8D4DA-AA2B-428E-BA25-40D5B761DE46}"/>
    <cellStyle name="Currency 5 3 5 3 3 3" xfId="22346" xr:uid="{D31D84B5-D082-4F6F-9EE5-F5CD8F89BCBE}"/>
    <cellStyle name="Currency 5 3 5 3 4" xfId="9700" xr:uid="{EA21273C-A7A8-4906-8F88-E5389D97CC36}"/>
    <cellStyle name="Currency 5 3 5 3 5" xfId="18129" xr:uid="{17DFC5B5-1D1C-4FDB-B888-994398FF1620}"/>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76" xr:uid="{341CCFDC-84AB-49BF-BCBD-7B1D98D020E5}"/>
    <cellStyle name="Currency 5 3 5 4 2 2 3" xfId="24904" xr:uid="{D7326A40-F61A-4DF3-AA82-7B48F7EAA075}"/>
    <cellStyle name="Currency 5 3 5 4 2 3" xfId="12258" xr:uid="{6C8637A6-63D9-4F1D-B956-CE98C96ABA49}"/>
    <cellStyle name="Currency 5 3 5 4 2 4" xfId="20687" xr:uid="{3F40FAE3-28C8-4010-B0BF-D9268259D601}"/>
    <cellStyle name="Currency 5 3 5 4 3" xfId="5902" xr:uid="{00000000-0005-0000-0000-00002E0D0000}"/>
    <cellStyle name="Currency 5 3 5 4 3 2" xfId="14331" xr:uid="{D3767A5C-082B-4D8C-B79E-B1F4C14D66CB}"/>
    <cellStyle name="Currency 5 3 5 4 3 3" xfId="22759" xr:uid="{11532DC1-F13C-4F54-8506-421344616288}"/>
    <cellStyle name="Currency 5 3 5 4 4" xfId="10113" xr:uid="{DACFA721-3316-41E3-8E96-706605439753}"/>
    <cellStyle name="Currency 5 3 5 4 5" xfId="18542" xr:uid="{331E4672-C6A3-4BC8-8034-719BFAD4DF48}"/>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9" xr:uid="{484B85C8-3519-4111-84F3-F2841D75101B}"/>
    <cellStyle name="Currency 5 3 5 5 2 2 3" xfId="25317" xr:uid="{67845F15-8AFF-4681-8ED1-A29990BDCBC3}"/>
    <cellStyle name="Currency 5 3 5 5 2 3" xfId="12671" xr:uid="{F74BAF9E-EB2C-4003-8B77-74AC148ACC54}"/>
    <cellStyle name="Currency 5 3 5 5 2 4" xfId="21100" xr:uid="{1B88AFCA-A0B7-486D-B07F-8FB34C4B8A2E}"/>
    <cellStyle name="Currency 5 3 5 5 3" xfId="6315" xr:uid="{00000000-0005-0000-0000-0000320D0000}"/>
    <cellStyle name="Currency 5 3 5 5 3 2" xfId="14744" xr:uid="{9D43BC45-D4FF-4677-9053-8AEDDCF4B036}"/>
    <cellStyle name="Currency 5 3 5 5 3 3" xfId="23172" xr:uid="{59ECEB36-635C-4E4E-B36A-0ABCA10F7CCA}"/>
    <cellStyle name="Currency 5 3 5 5 4" xfId="10526" xr:uid="{C2404655-A334-4DAE-A385-E1F58E407474}"/>
    <cellStyle name="Currency 5 3 5 5 5" xfId="18955" xr:uid="{E814E30B-1B6B-42F5-BFC0-92C3C96A9148}"/>
    <cellStyle name="Currency 5 3 5 6" xfId="2442" xr:uid="{00000000-0005-0000-0000-0000330D0000}"/>
    <cellStyle name="Currency 5 3 5 6 2" xfId="6728" xr:uid="{00000000-0005-0000-0000-0000340D0000}"/>
    <cellStyle name="Currency 5 3 5 6 2 2" xfId="15157" xr:uid="{893300B7-1B37-4A6B-A9C9-7593BCDEC52B}"/>
    <cellStyle name="Currency 5 3 5 6 2 3" xfId="23585" xr:uid="{CDF09DDC-85E8-4A73-8597-4083137C0B5B}"/>
    <cellStyle name="Currency 5 3 5 6 3" xfId="10939" xr:uid="{48A3560A-D622-46AB-9F19-339FD4996690}"/>
    <cellStyle name="Currency 5 3 5 6 4" xfId="19368" xr:uid="{5850D5A3-5136-41B2-9DE2-704E57F56948}"/>
    <cellStyle name="Currency 5 3 5 7" xfId="2739" xr:uid="{00000000-0005-0000-0000-0000350D0000}"/>
    <cellStyle name="Currency 5 3 5 8" xfId="2820" xr:uid="{00000000-0005-0000-0000-0000360D0000}"/>
    <cellStyle name="Currency 5 3 5 8 2" xfId="7045" xr:uid="{00000000-0005-0000-0000-0000370D0000}"/>
    <cellStyle name="Currency 5 3 5 8 2 2" xfId="15474" xr:uid="{98F5FEFD-3B9C-4437-B5A2-B11171BCBB57}"/>
    <cellStyle name="Currency 5 3 5 8 2 3" xfId="23902" xr:uid="{B0E45133-2B3E-493A-94C5-C4BB7811655A}"/>
    <cellStyle name="Currency 5 3 5 8 3" xfId="11256" xr:uid="{459CC4A9-A40C-43B6-A79B-26AA066E18FE}"/>
    <cellStyle name="Currency 5 3 5 8 4" xfId="19685" xr:uid="{B5EDD4F9-CFCD-4941-AC9C-8FD35F3FE582}"/>
    <cellStyle name="Currency 5 3 5 9" xfId="4662" xr:uid="{00000000-0005-0000-0000-0000380D0000}"/>
    <cellStyle name="Currency 5 3 5 9 2" xfId="13091" xr:uid="{A31546CF-F031-4C3E-9AEB-7B2E2848DFF2}"/>
    <cellStyle name="Currency 5 3 5 9 3" xfId="21519" xr:uid="{0416AA1D-5227-49E9-AAE2-9C4B006FF871}"/>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92" xr:uid="{DF5021C4-C21C-43D4-8775-4BD92E071588}"/>
    <cellStyle name="Currency 5 5 10 3" xfId="21520" xr:uid="{D6912CCB-879A-4FAE-A8F0-277337B2C73B}"/>
    <cellStyle name="Currency 5 5 11" xfId="8874" xr:uid="{E969D86C-CDEF-4D51-9369-5A81D7B22093}"/>
    <cellStyle name="Currency 5 5 12" xfId="17303" xr:uid="{AE9B3D2C-6754-4AE7-A388-060EE4B7D8CF}"/>
    <cellStyle name="Currency 5 5 2" xfId="220" xr:uid="{00000000-0005-0000-0000-00003D0D0000}"/>
    <cellStyle name="Currency 5 5 2 10" xfId="8875" xr:uid="{03EA79E2-9D56-4C8D-95DC-DE1D22C6D3AD}"/>
    <cellStyle name="Currency 5 5 2 11" xfId="17304" xr:uid="{E1E51BCF-6F82-4203-8F54-6590D98115FA}"/>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52" xr:uid="{8A7B769A-08DF-456E-B048-05BA22855D03}"/>
    <cellStyle name="Currency 5 5 2 2 2 2 3" xfId="24080" xr:uid="{5BCEEAF6-28EC-4E0F-905F-D13C55143856}"/>
    <cellStyle name="Currency 5 5 2 2 2 3" xfId="11434" xr:uid="{DDAE4EC7-6D87-4099-8541-881B6C5C7565}"/>
    <cellStyle name="Currency 5 5 2 2 2 4" xfId="19863" xr:uid="{42F28A37-97C1-4287-B488-C6424CB9ED46}"/>
    <cellStyle name="Currency 5 5 2 2 3" xfId="5078" xr:uid="{00000000-0005-0000-0000-0000410D0000}"/>
    <cellStyle name="Currency 5 5 2 2 3 2" xfId="13507" xr:uid="{A0738B2D-9BDF-4DED-81D6-2DC73C867B8D}"/>
    <cellStyle name="Currency 5 5 2 2 3 3" xfId="21935" xr:uid="{760F3A3E-7EF8-4153-B69C-F93C70FEB28D}"/>
    <cellStyle name="Currency 5 5 2 2 4" xfId="9289" xr:uid="{9B66E425-E2D2-4F63-AE1A-FCF6DD4D005F}"/>
    <cellStyle name="Currency 5 5 2 2 5" xfId="17718" xr:uid="{C2C1F69D-58D6-4B58-A8E0-4F2582CBAC0D}"/>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65" xr:uid="{6AE29CCB-EBE3-4E75-B685-E6F9805099F9}"/>
    <cellStyle name="Currency 5 5 2 3 2 2 3" xfId="24493" xr:uid="{5DF038E8-F52D-48DA-89FC-B7885711DAD5}"/>
    <cellStyle name="Currency 5 5 2 3 2 3" xfId="11847" xr:uid="{A51786E4-FA57-457C-B800-5D0323E19FB7}"/>
    <cellStyle name="Currency 5 5 2 3 2 4" xfId="20276" xr:uid="{AC89D79B-CCBB-4F63-8C83-D0F45E33DBBB}"/>
    <cellStyle name="Currency 5 5 2 3 3" xfId="5491" xr:uid="{00000000-0005-0000-0000-0000450D0000}"/>
    <cellStyle name="Currency 5 5 2 3 3 2" xfId="13920" xr:uid="{154C1E67-48E1-47CA-889B-AF91EA710F95}"/>
    <cellStyle name="Currency 5 5 2 3 3 3" xfId="22348" xr:uid="{5CC62B43-9DEF-460D-A606-EBC11B4AFFAF}"/>
    <cellStyle name="Currency 5 5 2 3 4" xfId="9702" xr:uid="{D99EAA54-2D30-43F6-A8DC-7FD2670D464B}"/>
    <cellStyle name="Currency 5 5 2 3 5" xfId="18131" xr:uid="{6CBE1D50-AB0A-4BB1-9436-A666DD050379}"/>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8" xr:uid="{8932D9D9-8AD3-4218-AA59-197EBBCB6A5F}"/>
    <cellStyle name="Currency 5 5 2 4 2 2 3" xfId="24906" xr:uid="{3BF16A40-C21D-4C19-9C29-522C7172E94C}"/>
    <cellStyle name="Currency 5 5 2 4 2 3" xfId="12260" xr:uid="{8B8EA7EC-591B-48AF-82A7-31A4A4EBEBEE}"/>
    <cellStyle name="Currency 5 5 2 4 2 4" xfId="20689" xr:uid="{10B9A693-FD68-48F4-B00F-69BB5DD86458}"/>
    <cellStyle name="Currency 5 5 2 4 3" xfId="5904" xr:uid="{00000000-0005-0000-0000-0000490D0000}"/>
    <cellStyle name="Currency 5 5 2 4 3 2" xfId="14333" xr:uid="{B3CD669A-EB52-4E1D-8A1E-2130460C950C}"/>
    <cellStyle name="Currency 5 5 2 4 3 3" xfId="22761" xr:uid="{3F03757C-259B-4D67-AB21-37481B293C8F}"/>
    <cellStyle name="Currency 5 5 2 4 4" xfId="10115" xr:uid="{A5B4F51E-6B5F-43AC-B101-F3FC9F5C0032}"/>
    <cellStyle name="Currency 5 5 2 4 5" xfId="18544" xr:uid="{E7DB2551-BA6A-4AC8-A0C4-C5CF855A375B}"/>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91" xr:uid="{3BD3BA7A-1DAC-49EF-B464-7578A3AF4A36}"/>
    <cellStyle name="Currency 5 5 2 5 2 2 3" xfId="25319" xr:uid="{F0E5ADA7-1298-416D-97F7-4EA59C92975D}"/>
    <cellStyle name="Currency 5 5 2 5 2 3" xfId="12673" xr:uid="{07171F9F-0080-4BCA-A4B5-D39C5F3C2107}"/>
    <cellStyle name="Currency 5 5 2 5 2 4" xfId="21102" xr:uid="{B59E86BC-5DBB-4F7A-9239-A5C51817D394}"/>
    <cellStyle name="Currency 5 5 2 5 3" xfId="6317" xr:uid="{00000000-0005-0000-0000-00004D0D0000}"/>
    <cellStyle name="Currency 5 5 2 5 3 2" xfId="14746" xr:uid="{7DA16FB9-4001-4F9F-85A9-6FE603A2E369}"/>
    <cellStyle name="Currency 5 5 2 5 3 3" xfId="23174" xr:uid="{21F3F295-394E-4DDC-BDCD-AE2DB9782EC5}"/>
    <cellStyle name="Currency 5 5 2 5 4" xfId="10528" xr:uid="{C05B8E02-0FFC-4F4B-BA04-D1A62A79212E}"/>
    <cellStyle name="Currency 5 5 2 5 5" xfId="18957" xr:uid="{310EBB20-DC20-42E2-A390-9FC75603F5B8}"/>
    <cellStyle name="Currency 5 5 2 6" xfId="2444" xr:uid="{00000000-0005-0000-0000-00004E0D0000}"/>
    <cellStyle name="Currency 5 5 2 6 2" xfId="6730" xr:uid="{00000000-0005-0000-0000-00004F0D0000}"/>
    <cellStyle name="Currency 5 5 2 6 2 2" xfId="15159" xr:uid="{AADC2623-A2D7-4C79-AC59-977C1FA14906}"/>
    <cellStyle name="Currency 5 5 2 6 2 3" xfId="23587" xr:uid="{EE39463E-CECC-4B92-8E2D-EE1063C8AD9C}"/>
    <cellStyle name="Currency 5 5 2 6 3" xfId="10941" xr:uid="{58DF0895-CE61-4C9F-89CA-700F167DF87A}"/>
    <cellStyle name="Currency 5 5 2 6 4" xfId="19370" xr:uid="{C98DC132-E279-4030-9413-A447A5DA2A5F}"/>
    <cellStyle name="Currency 5 5 2 7" xfId="2741" xr:uid="{00000000-0005-0000-0000-0000500D0000}"/>
    <cellStyle name="Currency 5 5 2 8" xfId="2822" xr:uid="{00000000-0005-0000-0000-0000510D0000}"/>
    <cellStyle name="Currency 5 5 2 8 2" xfId="7047" xr:uid="{00000000-0005-0000-0000-0000520D0000}"/>
    <cellStyle name="Currency 5 5 2 8 2 2" xfId="15476" xr:uid="{CDAAE637-E7E5-4A55-8DCE-26504FDA43F3}"/>
    <cellStyle name="Currency 5 5 2 8 2 3" xfId="23904" xr:uid="{E5A5FCDE-637F-4363-90D0-CFA8B13EFE18}"/>
    <cellStyle name="Currency 5 5 2 8 3" xfId="11258" xr:uid="{C3B743D0-CF91-4B3E-8A90-A9E170849024}"/>
    <cellStyle name="Currency 5 5 2 8 4" xfId="19687" xr:uid="{D97DEC67-E06E-47CC-8E77-232B2ABC3084}"/>
    <cellStyle name="Currency 5 5 2 9" xfId="4664" xr:uid="{00000000-0005-0000-0000-0000530D0000}"/>
    <cellStyle name="Currency 5 5 2 9 2" xfId="13093" xr:uid="{AC7C9146-4A9F-40D1-9BAA-8AF8964CE16F}"/>
    <cellStyle name="Currency 5 5 2 9 3" xfId="21521" xr:uid="{8EEA729C-AD92-4B2A-883B-64E007FF8234}"/>
    <cellStyle name="Currency 5 5 3" xfId="746" xr:uid="{00000000-0005-0000-0000-0000540D0000}"/>
    <cellStyle name="Currency 5 5 3 2" xfId="2998" xr:uid="{00000000-0005-0000-0000-0000550D0000}"/>
    <cellStyle name="Currency 5 5 3 2 2" xfId="7222" xr:uid="{00000000-0005-0000-0000-0000560D0000}"/>
    <cellStyle name="Currency 5 5 3 2 2 2" xfId="15651" xr:uid="{3942EC3D-6B59-483D-AA26-11C94808F9A7}"/>
    <cellStyle name="Currency 5 5 3 2 2 3" xfId="24079" xr:uid="{F5AADD52-14C2-41D9-BDEB-785262D7650B}"/>
    <cellStyle name="Currency 5 5 3 2 3" xfId="11433" xr:uid="{E3706062-AC9E-45D2-8CA2-2C3A86FFEB98}"/>
    <cellStyle name="Currency 5 5 3 2 4" xfId="19862" xr:uid="{1854B424-7AD9-4010-8BA2-5BDCF05A827A}"/>
    <cellStyle name="Currency 5 5 3 3" xfId="5077" xr:uid="{00000000-0005-0000-0000-0000570D0000}"/>
    <cellStyle name="Currency 5 5 3 3 2" xfId="13506" xr:uid="{AE646F42-858A-4BD5-BC87-E1F6DC120F2D}"/>
    <cellStyle name="Currency 5 5 3 3 3" xfId="21934" xr:uid="{C475A085-F39D-41AF-942A-3CD7FA123F93}"/>
    <cellStyle name="Currency 5 5 3 4" xfId="9288" xr:uid="{7A7D5518-58CA-4224-95F0-4EEA63B4A878}"/>
    <cellStyle name="Currency 5 5 3 5" xfId="17717" xr:uid="{72005B62-0E7A-420D-8AAF-439AD113BBB9}"/>
    <cellStyle name="Currency 5 5 4" xfId="1180" xr:uid="{00000000-0005-0000-0000-0000580D0000}"/>
    <cellStyle name="Currency 5 5 4 2" xfId="3411" xr:uid="{00000000-0005-0000-0000-0000590D0000}"/>
    <cellStyle name="Currency 5 5 4 2 2" xfId="7635" xr:uid="{00000000-0005-0000-0000-00005A0D0000}"/>
    <cellStyle name="Currency 5 5 4 2 2 2" xfId="16064" xr:uid="{489D8D55-4AEF-4059-9C07-7577A5323272}"/>
    <cellStyle name="Currency 5 5 4 2 2 3" xfId="24492" xr:uid="{2BFDB517-4FDD-4287-A4F3-205E0BCA1D83}"/>
    <cellStyle name="Currency 5 5 4 2 3" xfId="11846" xr:uid="{228D8E19-ABF0-4588-9D4E-E30293E87B6E}"/>
    <cellStyle name="Currency 5 5 4 2 4" xfId="20275" xr:uid="{64822861-B272-4041-9A3B-4902AD726A7C}"/>
    <cellStyle name="Currency 5 5 4 3" xfId="5490" xr:uid="{00000000-0005-0000-0000-00005B0D0000}"/>
    <cellStyle name="Currency 5 5 4 3 2" xfId="13919" xr:uid="{A96E3C9E-5CB0-438A-A811-EBF7446560E4}"/>
    <cellStyle name="Currency 5 5 4 3 3" xfId="22347" xr:uid="{91E2D52D-57C3-415F-81E4-1537D01EBC01}"/>
    <cellStyle name="Currency 5 5 4 4" xfId="9701" xr:uid="{2AD49A53-4FA3-4DE6-9564-88D644466112}"/>
    <cellStyle name="Currency 5 5 4 5" xfId="18130" xr:uid="{4B1094C8-2DBC-4555-9CF3-C008982DBDCB}"/>
    <cellStyle name="Currency 5 5 5" xfId="1594" xr:uid="{00000000-0005-0000-0000-00005C0D0000}"/>
    <cellStyle name="Currency 5 5 5 2" xfId="3824" xr:uid="{00000000-0005-0000-0000-00005D0D0000}"/>
    <cellStyle name="Currency 5 5 5 2 2" xfId="8048" xr:uid="{00000000-0005-0000-0000-00005E0D0000}"/>
    <cellStyle name="Currency 5 5 5 2 2 2" xfId="16477" xr:uid="{2AD32D87-6948-4147-BA3B-826BA1B7169D}"/>
    <cellStyle name="Currency 5 5 5 2 2 3" xfId="24905" xr:uid="{5ABFE174-F304-4393-A77A-8468B7AC3D72}"/>
    <cellStyle name="Currency 5 5 5 2 3" xfId="12259" xr:uid="{373B9055-DB61-40EC-A142-E828B3D329F0}"/>
    <cellStyle name="Currency 5 5 5 2 4" xfId="20688" xr:uid="{2652614E-02B4-4A13-BFC6-1052349704A3}"/>
    <cellStyle name="Currency 5 5 5 3" xfId="5903" xr:uid="{00000000-0005-0000-0000-00005F0D0000}"/>
    <cellStyle name="Currency 5 5 5 3 2" xfId="14332" xr:uid="{9BC77E48-E10D-4CA2-A697-E8C663936941}"/>
    <cellStyle name="Currency 5 5 5 3 3" xfId="22760" xr:uid="{94225EC4-C5A9-41DB-9CD5-3888E4AF07F2}"/>
    <cellStyle name="Currency 5 5 5 4" xfId="10114" xr:uid="{7B0CA769-D74D-4BC8-B6C7-17852A7741B0}"/>
    <cellStyle name="Currency 5 5 5 5" xfId="18543" xr:uid="{1A9AF2D1-8A01-441D-BB65-86FA7472536A}"/>
    <cellStyle name="Currency 5 5 6" xfId="2008" xr:uid="{00000000-0005-0000-0000-0000600D0000}"/>
    <cellStyle name="Currency 5 5 6 2" xfId="4237" xr:uid="{00000000-0005-0000-0000-0000610D0000}"/>
    <cellStyle name="Currency 5 5 6 2 2" xfId="8461" xr:uid="{00000000-0005-0000-0000-0000620D0000}"/>
    <cellStyle name="Currency 5 5 6 2 2 2" xfId="16890" xr:uid="{0DB05068-0909-409C-9C6C-B571346A3E64}"/>
    <cellStyle name="Currency 5 5 6 2 2 3" xfId="25318" xr:uid="{D7047536-9D4E-49E0-B3AE-C5300058B3DB}"/>
    <cellStyle name="Currency 5 5 6 2 3" xfId="12672" xr:uid="{0066D04F-383C-4940-8BBD-66C72A500EAB}"/>
    <cellStyle name="Currency 5 5 6 2 4" xfId="21101" xr:uid="{CBFE2BC6-78CA-4EC8-A4D9-855F4859A46D}"/>
    <cellStyle name="Currency 5 5 6 3" xfId="6316" xr:uid="{00000000-0005-0000-0000-0000630D0000}"/>
    <cellStyle name="Currency 5 5 6 3 2" xfId="14745" xr:uid="{12EC120F-0043-47C9-84C8-FA2E9AF7826C}"/>
    <cellStyle name="Currency 5 5 6 3 3" xfId="23173" xr:uid="{B0717994-0765-4A7A-9515-5051086D6750}"/>
    <cellStyle name="Currency 5 5 6 4" xfId="10527" xr:uid="{4425A00F-9545-4EFE-93A1-B18C998E2C47}"/>
    <cellStyle name="Currency 5 5 6 5" xfId="18956" xr:uid="{04C01A23-8B65-4192-B123-8A3725FBE972}"/>
    <cellStyle name="Currency 5 5 7" xfId="2443" xr:uid="{00000000-0005-0000-0000-0000640D0000}"/>
    <cellStyle name="Currency 5 5 7 2" xfId="6729" xr:uid="{00000000-0005-0000-0000-0000650D0000}"/>
    <cellStyle name="Currency 5 5 7 2 2" xfId="15158" xr:uid="{2CDAB899-2626-4276-9FE1-24EBB0858D8A}"/>
    <cellStyle name="Currency 5 5 7 2 3" xfId="23586" xr:uid="{037A23B5-A412-41F3-AEC4-DDF751C5817F}"/>
    <cellStyle name="Currency 5 5 7 3" xfId="10940" xr:uid="{945600F2-6A82-4035-8EFF-D1B0DDCFDA43}"/>
    <cellStyle name="Currency 5 5 7 4" xfId="19369" xr:uid="{9A6FB757-5D10-4418-8372-16BD6F4683B5}"/>
    <cellStyle name="Currency 5 5 8" xfId="2740" xr:uid="{00000000-0005-0000-0000-0000660D0000}"/>
    <cellStyle name="Currency 5 5 9" xfId="2821" xr:uid="{00000000-0005-0000-0000-0000670D0000}"/>
    <cellStyle name="Currency 5 5 9 2" xfId="7046" xr:uid="{00000000-0005-0000-0000-0000680D0000}"/>
    <cellStyle name="Currency 5 5 9 2 2" xfId="15475" xr:uid="{4529F1F9-8194-4440-94F2-00CE78D2B25A}"/>
    <cellStyle name="Currency 5 5 9 2 3" xfId="23903" xr:uid="{4326D2A3-D02C-424B-A942-C6066E6BE320}"/>
    <cellStyle name="Currency 5 5 9 3" xfId="11257" xr:uid="{DC901E19-154B-48B3-B237-F866DEF1C8E9}"/>
    <cellStyle name="Currency 5 5 9 4" xfId="19686" xr:uid="{8954C411-64F8-49EE-BEA8-F1B2F0F4426E}"/>
    <cellStyle name="Currency 5 6" xfId="221" xr:uid="{00000000-0005-0000-0000-0000690D0000}"/>
    <cellStyle name="Currency 5 6 10" xfId="8876" xr:uid="{7476B0C4-517B-4B1A-9DF9-E3CD5E00A056}"/>
    <cellStyle name="Currency 5 6 11" xfId="17305" xr:uid="{1E799734-6711-43E0-A8B7-C898C5346FEF}"/>
    <cellStyle name="Currency 5 6 2" xfId="748" xr:uid="{00000000-0005-0000-0000-00006A0D0000}"/>
    <cellStyle name="Currency 5 6 2 2" xfId="3000" xr:uid="{00000000-0005-0000-0000-00006B0D0000}"/>
    <cellStyle name="Currency 5 6 2 2 2" xfId="7224" xr:uid="{00000000-0005-0000-0000-00006C0D0000}"/>
    <cellStyle name="Currency 5 6 2 2 2 2" xfId="15653" xr:uid="{163E544B-57AB-4A22-A21C-18B6EDF45AB2}"/>
    <cellStyle name="Currency 5 6 2 2 2 3" xfId="24081" xr:uid="{3DF638EF-8D53-46CD-BF14-9F2FB45AE274}"/>
    <cellStyle name="Currency 5 6 2 2 3" xfId="11435" xr:uid="{A209A76D-6874-4398-A660-D6011EC338EB}"/>
    <cellStyle name="Currency 5 6 2 2 4" xfId="19864" xr:uid="{3782DA70-97D3-4C2F-8D17-1BAB9F163626}"/>
    <cellStyle name="Currency 5 6 2 3" xfId="5079" xr:uid="{00000000-0005-0000-0000-00006D0D0000}"/>
    <cellStyle name="Currency 5 6 2 3 2" xfId="13508" xr:uid="{1F2C0BA3-F59F-43E5-9870-D5C5F02F1EC8}"/>
    <cellStyle name="Currency 5 6 2 3 3" xfId="21936" xr:uid="{FD0ADD1F-85B5-4DBE-8C49-AF87B277D98D}"/>
    <cellStyle name="Currency 5 6 2 4" xfId="9290" xr:uid="{C3D9B09A-0691-4268-989E-1A70B723E3A6}"/>
    <cellStyle name="Currency 5 6 2 5" xfId="17719" xr:uid="{0E61A5B0-2723-4BA7-A917-D7A58E411942}"/>
    <cellStyle name="Currency 5 6 3" xfId="1182" xr:uid="{00000000-0005-0000-0000-00006E0D0000}"/>
    <cellStyle name="Currency 5 6 3 2" xfId="3413" xr:uid="{00000000-0005-0000-0000-00006F0D0000}"/>
    <cellStyle name="Currency 5 6 3 2 2" xfId="7637" xr:uid="{00000000-0005-0000-0000-0000700D0000}"/>
    <cellStyle name="Currency 5 6 3 2 2 2" xfId="16066" xr:uid="{4AC4E89A-325E-415E-BB52-0C0FDF7B8E55}"/>
    <cellStyle name="Currency 5 6 3 2 2 3" xfId="24494" xr:uid="{69F93EB1-47F1-462C-9C0D-8D0E8E6DA80C}"/>
    <cellStyle name="Currency 5 6 3 2 3" xfId="11848" xr:uid="{50A409DB-2B5F-4746-A845-322A573A8206}"/>
    <cellStyle name="Currency 5 6 3 2 4" xfId="20277" xr:uid="{69F30878-4E3D-4CA0-B255-E891BB2A4114}"/>
    <cellStyle name="Currency 5 6 3 3" xfId="5492" xr:uid="{00000000-0005-0000-0000-0000710D0000}"/>
    <cellStyle name="Currency 5 6 3 3 2" xfId="13921" xr:uid="{21F004A0-E78A-424C-A5C6-1DD669439DEC}"/>
    <cellStyle name="Currency 5 6 3 3 3" xfId="22349" xr:uid="{21CF645C-2D53-42FB-83ED-793433344DCF}"/>
    <cellStyle name="Currency 5 6 3 4" xfId="9703" xr:uid="{48DE5C3A-F85D-4DB7-A2BF-ED5FBFBB00AA}"/>
    <cellStyle name="Currency 5 6 3 5" xfId="18132" xr:uid="{D9F6E407-6FC5-4DF6-8F1A-DF45C7D45910}"/>
    <cellStyle name="Currency 5 6 4" xfId="1596" xr:uid="{00000000-0005-0000-0000-0000720D0000}"/>
    <cellStyle name="Currency 5 6 4 2" xfId="3826" xr:uid="{00000000-0005-0000-0000-0000730D0000}"/>
    <cellStyle name="Currency 5 6 4 2 2" xfId="8050" xr:uid="{00000000-0005-0000-0000-0000740D0000}"/>
    <cellStyle name="Currency 5 6 4 2 2 2" xfId="16479" xr:uid="{D8DD5423-4559-42D2-84D7-B0849DD57757}"/>
    <cellStyle name="Currency 5 6 4 2 2 3" xfId="24907" xr:uid="{462F84E0-DFE1-4DA6-85B4-CEA36847BAB0}"/>
    <cellStyle name="Currency 5 6 4 2 3" xfId="12261" xr:uid="{78A9533B-F3E8-415C-AF58-0A9C9A76D862}"/>
    <cellStyle name="Currency 5 6 4 2 4" xfId="20690" xr:uid="{0437383B-E638-43A0-9654-8CFE36B8D308}"/>
    <cellStyle name="Currency 5 6 4 3" xfId="5905" xr:uid="{00000000-0005-0000-0000-0000750D0000}"/>
    <cellStyle name="Currency 5 6 4 3 2" xfId="14334" xr:uid="{384733C8-9325-41EE-B4A1-EA284A9C0A47}"/>
    <cellStyle name="Currency 5 6 4 3 3" xfId="22762" xr:uid="{F661817B-D3C9-406D-AB49-BC005E6DA888}"/>
    <cellStyle name="Currency 5 6 4 4" xfId="10116" xr:uid="{18A6F307-788E-4811-A86D-A5EC77D2C2CC}"/>
    <cellStyle name="Currency 5 6 4 5" xfId="18545" xr:uid="{538DBD8C-BF4B-436C-AA21-1A1806E48E0C}"/>
    <cellStyle name="Currency 5 6 5" xfId="2010" xr:uid="{00000000-0005-0000-0000-0000760D0000}"/>
    <cellStyle name="Currency 5 6 5 2" xfId="4239" xr:uid="{00000000-0005-0000-0000-0000770D0000}"/>
    <cellStyle name="Currency 5 6 5 2 2" xfId="8463" xr:uid="{00000000-0005-0000-0000-0000780D0000}"/>
    <cellStyle name="Currency 5 6 5 2 2 2" xfId="16892" xr:uid="{47E7C281-C72A-4EA2-9620-10A3C1457FAF}"/>
    <cellStyle name="Currency 5 6 5 2 2 3" xfId="25320" xr:uid="{71B57C71-8700-4A57-BD90-6F259500CBD3}"/>
    <cellStyle name="Currency 5 6 5 2 3" xfId="12674" xr:uid="{FB5D63D6-1AA5-4405-91B9-81A3D8863965}"/>
    <cellStyle name="Currency 5 6 5 2 4" xfId="21103" xr:uid="{B5A31681-64D7-4C0B-A412-D0ADB5BB0648}"/>
    <cellStyle name="Currency 5 6 5 3" xfId="6318" xr:uid="{00000000-0005-0000-0000-0000790D0000}"/>
    <cellStyle name="Currency 5 6 5 3 2" xfId="14747" xr:uid="{9DCE59CF-0C73-4E27-8A23-002801A7C689}"/>
    <cellStyle name="Currency 5 6 5 3 3" xfId="23175" xr:uid="{94DA54D7-1B19-443F-A0E0-2A458D590A3F}"/>
    <cellStyle name="Currency 5 6 5 4" xfId="10529" xr:uid="{300A9A2B-F3E9-4409-8EA6-B065D11E3313}"/>
    <cellStyle name="Currency 5 6 5 5" xfId="18958" xr:uid="{E31F14CD-9C52-44B4-A5B2-160B5EDD15F1}"/>
    <cellStyle name="Currency 5 6 6" xfId="2445" xr:uid="{00000000-0005-0000-0000-00007A0D0000}"/>
    <cellStyle name="Currency 5 6 6 2" xfId="6731" xr:uid="{00000000-0005-0000-0000-00007B0D0000}"/>
    <cellStyle name="Currency 5 6 6 2 2" xfId="15160" xr:uid="{959CE417-93D7-43AB-8731-F6D0E6CA2C0F}"/>
    <cellStyle name="Currency 5 6 6 2 3" xfId="23588" xr:uid="{8259BB2B-11B8-4A69-BE2B-72CC918D5ECF}"/>
    <cellStyle name="Currency 5 6 6 3" xfId="10942" xr:uid="{E69C1153-4DCA-435B-A8CC-D8C206C22626}"/>
    <cellStyle name="Currency 5 6 6 4" xfId="19371" xr:uid="{C35B709B-EAC1-4993-B9D7-01988A18E58D}"/>
    <cellStyle name="Currency 5 6 7" xfId="2742" xr:uid="{00000000-0005-0000-0000-00007C0D0000}"/>
    <cellStyle name="Currency 5 6 8" xfId="2823" xr:uid="{00000000-0005-0000-0000-00007D0D0000}"/>
    <cellStyle name="Currency 5 6 8 2" xfId="7048" xr:uid="{00000000-0005-0000-0000-00007E0D0000}"/>
    <cellStyle name="Currency 5 6 8 2 2" xfId="15477" xr:uid="{D433BB63-AA74-41F7-8553-51734CB60EF1}"/>
    <cellStyle name="Currency 5 6 8 2 3" xfId="23905" xr:uid="{BADF9353-CD50-4776-BD69-11E4F0652CAE}"/>
    <cellStyle name="Currency 5 6 8 3" xfId="11259" xr:uid="{945E3442-4A8F-4925-AB74-8699EBD199E9}"/>
    <cellStyle name="Currency 5 6 8 4" xfId="19688" xr:uid="{9BE06805-74AA-4971-9BEC-C70F667BA795}"/>
    <cellStyle name="Currency 5 6 9" xfId="4665" xr:uid="{00000000-0005-0000-0000-00007F0D0000}"/>
    <cellStyle name="Currency 5 6 9 2" xfId="13094" xr:uid="{A158F1D6-07DA-4BD6-9582-D6B2E2F18594}"/>
    <cellStyle name="Currency 5 6 9 3" xfId="21522" xr:uid="{F31A3FC9-E6A4-468C-88EA-EC64C34BF7B5}"/>
    <cellStyle name="Currency 5 7" xfId="222" xr:uid="{00000000-0005-0000-0000-0000800D0000}"/>
    <cellStyle name="Currency 5 7 10" xfId="8877" xr:uid="{3F67A5CE-E716-4F7D-B453-E6A4B16B7E6B}"/>
    <cellStyle name="Currency 5 7 11" xfId="17306" xr:uid="{77002BE6-458E-4167-B198-5B00E2E45388}"/>
    <cellStyle name="Currency 5 7 2" xfId="749" xr:uid="{00000000-0005-0000-0000-0000810D0000}"/>
    <cellStyle name="Currency 5 7 2 2" xfId="3001" xr:uid="{00000000-0005-0000-0000-0000820D0000}"/>
    <cellStyle name="Currency 5 7 2 2 2" xfId="7225" xr:uid="{00000000-0005-0000-0000-0000830D0000}"/>
    <cellStyle name="Currency 5 7 2 2 2 2" xfId="15654" xr:uid="{3E51287A-E7CF-4432-8D50-7D5D94136128}"/>
    <cellStyle name="Currency 5 7 2 2 2 3" xfId="24082" xr:uid="{EFBD4996-9EEF-4365-A1C3-4675D55E42BF}"/>
    <cellStyle name="Currency 5 7 2 2 3" xfId="11436" xr:uid="{6A47FED4-3D63-4959-9611-9203FA0BF20A}"/>
    <cellStyle name="Currency 5 7 2 2 4" xfId="19865" xr:uid="{9185983F-7A96-4BC8-B7CD-A2613873C276}"/>
    <cellStyle name="Currency 5 7 2 3" xfId="5080" xr:uid="{00000000-0005-0000-0000-0000840D0000}"/>
    <cellStyle name="Currency 5 7 2 3 2" xfId="13509" xr:uid="{1D397E2C-8845-4F80-9918-0C0746E10BC9}"/>
    <cellStyle name="Currency 5 7 2 3 3" xfId="21937" xr:uid="{F0DBB39F-0C81-49CD-8279-E319D3BB7F45}"/>
    <cellStyle name="Currency 5 7 2 4" xfId="9291" xr:uid="{D0D219FE-F2D6-49DE-8E6D-C44A7814E361}"/>
    <cellStyle name="Currency 5 7 2 5" xfId="17720" xr:uid="{BCCED2A6-2C15-40B4-83A6-E49E0A830AEE}"/>
    <cellStyle name="Currency 5 7 3" xfId="1183" xr:uid="{00000000-0005-0000-0000-0000850D0000}"/>
    <cellStyle name="Currency 5 7 3 2" xfId="3414" xr:uid="{00000000-0005-0000-0000-0000860D0000}"/>
    <cellStyle name="Currency 5 7 3 2 2" xfId="7638" xr:uid="{00000000-0005-0000-0000-0000870D0000}"/>
    <cellStyle name="Currency 5 7 3 2 2 2" xfId="16067" xr:uid="{0C776E36-B088-4294-8FBA-C39AAA01A8AA}"/>
    <cellStyle name="Currency 5 7 3 2 2 3" xfId="24495" xr:uid="{05DE2D2C-66DC-4111-AD8C-F2BB66E55B71}"/>
    <cellStyle name="Currency 5 7 3 2 3" xfId="11849" xr:uid="{BF253BFE-1D20-418E-8DAC-5B9477926974}"/>
    <cellStyle name="Currency 5 7 3 2 4" xfId="20278" xr:uid="{1724DFFC-EEC6-4BC0-821E-B12DE0E8B9FE}"/>
    <cellStyle name="Currency 5 7 3 3" xfId="5493" xr:uid="{00000000-0005-0000-0000-0000880D0000}"/>
    <cellStyle name="Currency 5 7 3 3 2" xfId="13922" xr:uid="{39EE44B6-BCF2-469C-80AD-4620E8E60049}"/>
    <cellStyle name="Currency 5 7 3 3 3" xfId="22350" xr:uid="{0B59893E-D993-48F0-A427-F716FA86E9A9}"/>
    <cellStyle name="Currency 5 7 3 4" xfId="9704" xr:uid="{6005557A-4ECC-4121-981A-7C504674417B}"/>
    <cellStyle name="Currency 5 7 3 5" xfId="18133" xr:uid="{EAEE6631-C724-4B58-B7ED-CBD4124240D6}"/>
    <cellStyle name="Currency 5 7 4" xfId="1597" xr:uid="{00000000-0005-0000-0000-0000890D0000}"/>
    <cellStyle name="Currency 5 7 4 2" xfId="3827" xr:uid="{00000000-0005-0000-0000-00008A0D0000}"/>
    <cellStyle name="Currency 5 7 4 2 2" xfId="8051" xr:uid="{00000000-0005-0000-0000-00008B0D0000}"/>
    <cellStyle name="Currency 5 7 4 2 2 2" xfId="16480" xr:uid="{009C2B4D-E725-4742-A680-C91CB0D3F635}"/>
    <cellStyle name="Currency 5 7 4 2 2 3" xfId="24908" xr:uid="{8C473CA2-306A-4AFF-8145-70DA9183412B}"/>
    <cellStyle name="Currency 5 7 4 2 3" xfId="12262" xr:uid="{2CE1A100-3D0C-459B-BEF0-65BE8B7052CA}"/>
    <cellStyle name="Currency 5 7 4 2 4" xfId="20691" xr:uid="{C16C3401-3B29-4573-B4D8-BD68598B0A69}"/>
    <cellStyle name="Currency 5 7 4 3" xfId="5906" xr:uid="{00000000-0005-0000-0000-00008C0D0000}"/>
    <cellStyle name="Currency 5 7 4 3 2" xfId="14335" xr:uid="{600DBB4B-6E3C-45EF-AC1E-A785BE96FE03}"/>
    <cellStyle name="Currency 5 7 4 3 3" xfId="22763" xr:uid="{6C85CA26-18ED-401F-AE5D-78087B1474BC}"/>
    <cellStyle name="Currency 5 7 4 4" xfId="10117" xr:uid="{A75DA1BA-B57D-4740-A677-B464B5079865}"/>
    <cellStyle name="Currency 5 7 4 5" xfId="18546" xr:uid="{B91E3D2F-EFBA-45B0-AB8B-CB38EECC10E7}"/>
    <cellStyle name="Currency 5 7 5" xfId="2011" xr:uid="{00000000-0005-0000-0000-00008D0D0000}"/>
    <cellStyle name="Currency 5 7 5 2" xfId="4240" xr:uid="{00000000-0005-0000-0000-00008E0D0000}"/>
    <cellStyle name="Currency 5 7 5 2 2" xfId="8464" xr:uid="{00000000-0005-0000-0000-00008F0D0000}"/>
    <cellStyle name="Currency 5 7 5 2 2 2" xfId="16893" xr:uid="{8B5D6C7D-BE57-4200-8106-A6D79E2D2C6F}"/>
    <cellStyle name="Currency 5 7 5 2 2 3" xfId="25321" xr:uid="{E93891F5-3F7E-44D7-9C7B-FC70E77599E1}"/>
    <cellStyle name="Currency 5 7 5 2 3" xfId="12675" xr:uid="{33DCA271-22AD-4A1C-AB15-A00F1D638902}"/>
    <cellStyle name="Currency 5 7 5 2 4" xfId="21104" xr:uid="{6B53BAC5-AC7E-4708-85C6-277ACC66849C}"/>
    <cellStyle name="Currency 5 7 5 3" xfId="6319" xr:uid="{00000000-0005-0000-0000-0000900D0000}"/>
    <cellStyle name="Currency 5 7 5 3 2" xfId="14748" xr:uid="{9E13872F-767F-4C24-A7E0-96DF296DAB79}"/>
    <cellStyle name="Currency 5 7 5 3 3" xfId="23176" xr:uid="{C63D57D3-E3A9-4938-9542-99988F2FFBD6}"/>
    <cellStyle name="Currency 5 7 5 4" xfId="10530" xr:uid="{650CA8D7-3F1F-4018-819D-D1FA4CA5AD7B}"/>
    <cellStyle name="Currency 5 7 5 5" xfId="18959" xr:uid="{C819E824-9550-4084-A19A-969834B4E0C5}"/>
    <cellStyle name="Currency 5 7 6" xfId="2446" xr:uid="{00000000-0005-0000-0000-0000910D0000}"/>
    <cellStyle name="Currency 5 7 6 2" xfId="6732" xr:uid="{00000000-0005-0000-0000-0000920D0000}"/>
    <cellStyle name="Currency 5 7 6 2 2" xfId="15161" xr:uid="{32F11D3B-DD30-4FCD-ABC4-618ECDB222BE}"/>
    <cellStyle name="Currency 5 7 6 2 3" xfId="23589" xr:uid="{B14BD154-B0C5-4D59-B93E-31214CE39E58}"/>
    <cellStyle name="Currency 5 7 6 3" xfId="10943" xr:uid="{D3A47825-927F-474F-B764-41BC07FBF4A1}"/>
    <cellStyle name="Currency 5 7 6 4" xfId="19372" xr:uid="{18934169-3438-4D72-BC3B-E1F200789E64}"/>
    <cellStyle name="Currency 5 7 7" xfId="2743" xr:uid="{00000000-0005-0000-0000-0000930D0000}"/>
    <cellStyle name="Currency 5 7 8" xfId="2824" xr:uid="{00000000-0005-0000-0000-0000940D0000}"/>
    <cellStyle name="Currency 5 7 8 2" xfId="7049" xr:uid="{00000000-0005-0000-0000-0000950D0000}"/>
    <cellStyle name="Currency 5 7 8 2 2" xfId="15478" xr:uid="{3C379D6F-D7ED-4986-B240-CCF6086EDE7E}"/>
    <cellStyle name="Currency 5 7 8 2 3" xfId="23906" xr:uid="{470254E6-0859-42F7-8E88-D1DA1B22AF9C}"/>
    <cellStyle name="Currency 5 7 8 3" xfId="11260" xr:uid="{8034E4EA-FAC3-4215-BB55-1BEB28D154FB}"/>
    <cellStyle name="Currency 5 7 8 4" xfId="19689" xr:uid="{A6A5B11E-F543-4B98-BCF6-3ABF657DAEFF}"/>
    <cellStyle name="Currency 5 7 9" xfId="4666" xr:uid="{00000000-0005-0000-0000-0000960D0000}"/>
    <cellStyle name="Currency 5 7 9 2" xfId="13095" xr:uid="{EE66C650-20D7-4CB8-9275-8517243C482D}"/>
    <cellStyle name="Currency 5 7 9 3" xfId="21523" xr:uid="{A0BAA83B-030A-49FD-81E2-A8B31A6A3A81}"/>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62" xr:uid="{B0469637-EA36-4E9D-8629-AEBC618D3B55}"/>
    <cellStyle name="Normal 12 10 2 3" xfId="23590" xr:uid="{02D7282A-EF2F-440D-872A-367195542150}"/>
    <cellStyle name="Normal 12 10 3" xfId="10944" xr:uid="{027800D9-2572-419E-919D-565669E18C94}"/>
    <cellStyle name="Normal 12 10 4" xfId="19373" xr:uid="{B13FA5B0-CEE9-4D24-B1DE-C17DC0A05589}"/>
    <cellStyle name="Normal 12 11" xfId="4667" xr:uid="{00000000-0005-0000-0000-0000CC0D0000}"/>
    <cellStyle name="Normal 12 11 2" xfId="13096" xr:uid="{F40E09B3-B04C-46EA-95BC-60F78966DF58}"/>
    <cellStyle name="Normal 12 11 3" xfId="21524" xr:uid="{2A104084-F891-47D5-9658-F0F8D4FE21D1}"/>
    <cellStyle name="Normal 12 12" xfId="8878" xr:uid="{99BA5A2F-42A3-41D5-8886-1E815045E120}"/>
    <cellStyle name="Normal 12 13" xfId="17307" xr:uid="{ED7B2288-AAC6-4B60-96A9-CE07F82AC265}"/>
    <cellStyle name="Normal 12 2" xfId="260" xr:uid="{00000000-0005-0000-0000-0000CD0D0000}"/>
    <cellStyle name="Normal 12 2 10" xfId="8879" xr:uid="{E31D2014-EDBA-4CF1-96E8-16995A6FD1C2}"/>
    <cellStyle name="Normal 12 2 11" xfId="17308" xr:uid="{C82C6E45-DBFE-46AF-BF91-3C11163F6E36}"/>
    <cellStyle name="Normal 12 2 2" xfId="261" xr:uid="{00000000-0005-0000-0000-0000CE0D0000}"/>
    <cellStyle name="Normal 12 2 2 10" xfId="17309" xr:uid="{0C562BD5-142D-4964-8B6D-4B9036E8BCA1}"/>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8" xr:uid="{4D55F94F-7B5F-4624-AAC2-FAA61DCA6DA7}"/>
    <cellStyle name="Normal 12 2 2 2 2 2 2 3" xfId="24086" xr:uid="{AA9E15A6-58A6-4239-B3CF-A161F498C55E}"/>
    <cellStyle name="Normal 12 2 2 2 2 2 3" xfId="11440" xr:uid="{83E2CF97-23C6-42D8-AAE6-6A1E14DFB7E7}"/>
    <cellStyle name="Normal 12 2 2 2 2 2 4" xfId="19869" xr:uid="{756F9746-6E2D-4084-AE00-A86C9C1E92CD}"/>
    <cellStyle name="Normal 12 2 2 2 2 3" xfId="5084" xr:uid="{00000000-0005-0000-0000-0000D30D0000}"/>
    <cellStyle name="Normal 12 2 2 2 2 3 2" xfId="13513" xr:uid="{4844C076-D8F8-4FEA-AD0C-DA175AE97203}"/>
    <cellStyle name="Normal 12 2 2 2 2 3 3" xfId="21941" xr:uid="{96CC6186-FB59-4430-BFD8-8B603A51C901}"/>
    <cellStyle name="Normal 12 2 2 2 2 4" xfId="9295" xr:uid="{A16A4750-0D84-4A16-A0BC-0FE836980488}"/>
    <cellStyle name="Normal 12 2 2 2 2 5" xfId="17724" xr:uid="{DDF114DB-B71A-47F4-9153-1EBA67EBE189}"/>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71" xr:uid="{1829F530-32DA-4A99-B602-C700E8DF9194}"/>
    <cellStyle name="Normal 12 2 2 2 3 2 2 3" xfId="24499" xr:uid="{474D25FC-D8E1-42FD-8995-948BC5B6332B}"/>
    <cellStyle name="Normal 12 2 2 2 3 2 3" xfId="11853" xr:uid="{B8747B42-CB1B-453F-861A-AAEC8E218FA3}"/>
    <cellStyle name="Normal 12 2 2 2 3 2 4" xfId="20282" xr:uid="{EB03753F-B242-498F-BBBE-59BF07838E00}"/>
    <cellStyle name="Normal 12 2 2 2 3 3" xfId="5497" xr:uid="{00000000-0005-0000-0000-0000D70D0000}"/>
    <cellStyle name="Normal 12 2 2 2 3 3 2" xfId="13926" xr:uid="{39ACA71B-43AD-4954-AF5E-1AF6F233B322}"/>
    <cellStyle name="Normal 12 2 2 2 3 3 3" xfId="22354" xr:uid="{E9D07421-2E3C-433B-ACE2-2B5DAA3604E1}"/>
    <cellStyle name="Normal 12 2 2 2 3 4" xfId="9708" xr:uid="{F7F33B1D-7190-48D9-A1F4-CA9EB7584963}"/>
    <cellStyle name="Normal 12 2 2 2 3 5" xfId="18137" xr:uid="{8AC57BB2-08A9-4A0D-B639-3772F4105FEA}"/>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84" xr:uid="{2EF0899C-138A-489E-8B8C-2555912CA03F}"/>
    <cellStyle name="Normal 12 2 2 2 4 2 2 3" xfId="24912" xr:uid="{6FF283CC-9116-4276-8996-93D5558A376D}"/>
    <cellStyle name="Normal 12 2 2 2 4 2 3" xfId="12266" xr:uid="{A8DEA9EF-5108-4775-B744-272CD3D8CB71}"/>
    <cellStyle name="Normal 12 2 2 2 4 2 4" xfId="20695" xr:uid="{99F9ECB9-6870-403D-A435-92B7FD667EC6}"/>
    <cellStyle name="Normal 12 2 2 2 4 3" xfId="5910" xr:uid="{00000000-0005-0000-0000-0000DB0D0000}"/>
    <cellStyle name="Normal 12 2 2 2 4 3 2" xfId="14339" xr:uid="{AA04C5D1-C375-4637-9B5B-3FB695F7FE20}"/>
    <cellStyle name="Normal 12 2 2 2 4 3 3" xfId="22767" xr:uid="{D127DE86-1024-498D-A95E-132B89F56BEE}"/>
    <cellStyle name="Normal 12 2 2 2 4 4" xfId="10121" xr:uid="{3A4A6491-412C-4750-A15B-A58C1BAA866B}"/>
    <cellStyle name="Normal 12 2 2 2 4 5" xfId="18550" xr:uid="{A46B4C0C-A82C-44DC-92E0-84D929464BF9}"/>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7" xr:uid="{D49FE09F-887B-4AB3-9CFA-2A200D61D8ED}"/>
    <cellStyle name="Normal 12 2 2 2 5 2 2 3" xfId="25325" xr:uid="{17347A36-3ED0-4B75-8FD5-AE03D213AAAC}"/>
    <cellStyle name="Normal 12 2 2 2 5 2 3" xfId="12679" xr:uid="{B0F868CF-F426-49EC-825F-82B01F37DE7A}"/>
    <cellStyle name="Normal 12 2 2 2 5 2 4" xfId="21108" xr:uid="{E119B441-9363-468E-8D1E-F0205DD05E7B}"/>
    <cellStyle name="Normal 12 2 2 2 5 3" xfId="6323" xr:uid="{00000000-0005-0000-0000-0000DF0D0000}"/>
    <cellStyle name="Normal 12 2 2 2 5 3 2" xfId="14752" xr:uid="{B3A4271F-FCFA-4CF8-899E-F296FCC1DC6E}"/>
    <cellStyle name="Normal 12 2 2 2 5 3 3" xfId="23180" xr:uid="{0BD74815-AE75-412B-82FB-1025CD4A6DC9}"/>
    <cellStyle name="Normal 12 2 2 2 5 4" xfId="10534" xr:uid="{AB73865A-F39C-445A-BD67-C3764F9FF4E1}"/>
    <cellStyle name="Normal 12 2 2 2 5 5" xfId="18963" xr:uid="{59F40A19-8516-41B2-BA6A-575D7016074B}"/>
    <cellStyle name="Normal 12 2 2 2 6" xfId="2451" xr:uid="{00000000-0005-0000-0000-0000E00D0000}"/>
    <cellStyle name="Normal 12 2 2 2 6 2" xfId="6736" xr:uid="{00000000-0005-0000-0000-0000E10D0000}"/>
    <cellStyle name="Normal 12 2 2 2 6 2 2" xfId="15165" xr:uid="{6EB36F1E-C802-4AA2-B312-9615623F390F}"/>
    <cellStyle name="Normal 12 2 2 2 6 2 3" xfId="23593" xr:uid="{388D3CEE-AD65-4A13-9DFE-93E5D57DFAED}"/>
    <cellStyle name="Normal 12 2 2 2 6 3" xfId="10947" xr:uid="{71541746-7BFF-4657-8D1B-ABD0305B4473}"/>
    <cellStyle name="Normal 12 2 2 2 6 4" xfId="19376" xr:uid="{401E13A7-E1A1-4113-9CB5-D331015F2A62}"/>
    <cellStyle name="Normal 12 2 2 2 7" xfId="4670" xr:uid="{00000000-0005-0000-0000-0000E20D0000}"/>
    <cellStyle name="Normal 12 2 2 2 7 2" xfId="13099" xr:uid="{024C2831-9D8F-48E9-8917-BF060E2916B1}"/>
    <cellStyle name="Normal 12 2 2 2 7 3" xfId="21527" xr:uid="{52C61A07-6EF5-411E-B91C-159D3BACA510}"/>
    <cellStyle name="Normal 12 2 2 2 8" xfId="8881" xr:uid="{A2D6175D-0D12-4974-ACC8-D18716A6A420}"/>
    <cellStyle name="Normal 12 2 2 2 9" xfId="17310" xr:uid="{3E2C90E1-7B49-4AE4-ABF4-7941422A4778}"/>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7" xr:uid="{F35D3B09-2AEE-4B1F-9695-B5F3218CB987}"/>
    <cellStyle name="Normal 12 2 2 3 2 2 3" xfId="24085" xr:uid="{872F8B77-A301-4601-B1FA-9108C72F5D36}"/>
    <cellStyle name="Normal 12 2 2 3 2 3" xfId="11439" xr:uid="{272733F5-DF36-49E3-BB88-DFC09661961D}"/>
    <cellStyle name="Normal 12 2 2 3 2 4" xfId="19868" xr:uid="{525834BB-8B70-4ADD-B203-672CDE4015F4}"/>
    <cellStyle name="Normal 12 2 2 3 3" xfId="5083" xr:uid="{00000000-0005-0000-0000-0000E60D0000}"/>
    <cellStyle name="Normal 12 2 2 3 3 2" xfId="13512" xr:uid="{CDDC653C-5F4E-4EE5-A5C7-49B15C1FFD7D}"/>
    <cellStyle name="Normal 12 2 2 3 3 3" xfId="21940" xr:uid="{E88B35A6-381C-4FFF-AA4A-3AF1A118FA08}"/>
    <cellStyle name="Normal 12 2 2 3 4" xfId="9294" xr:uid="{01961A5A-C307-4406-BECF-CD2CD05B1105}"/>
    <cellStyle name="Normal 12 2 2 3 5" xfId="17723" xr:uid="{03F3F4AE-FDD3-4983-B351-5BA1D7FAD95E}"/>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70" xr:uid="{3DD35AC2-C9D4-48E2-9DEB-F63FEC3A0B77}"/>
    <cellStyle name="Normal 12 2 2 4 2 2 3" xfId="24498" xr:uid="{D11ECEAC-5BDC-4222-85F4-278028FC763E}"/>
    <cellStyle name="Normal 12 2 2 4 2 3" xfId="11852" xr:uid="{F7D8B31B-EE45-40CF-8B8D-8FA485D49DBB}"/>
    <cellStyle name="Normal 12 2 2 4 2 4" xfId="20281" xr:uid="{85472B95-D8A2-4DFA-A0D0-BA2307B0E304}"/>
    <cellStyle name="Normal 12 2 2 4 3" xfId="5496" xr:uid="{00000000-0005-0000-0000-0000EA0D0000}"/>
    <cellStyle name="Normal 12 2 2 4 3 2" xfId="13925" xr:uid="{831830D2-8E56-4833-BC1E-853C3DA3F5F0}"/>
    <cellStyle name="Normal 12 2 2 4 3 3" xfId="22353" xr:uid="{8F056C70-E14E-4936-87BA-38A8A0F53044}"/>
    <cellStyle name="Normal 12 2 2 4 4" xfId="9707" xr:uid="{7ED6FA62-3A1F-457C-AC21-625B4ACD6215}"/>
    <cellStyle name="Normal 12 2 2 4 5" xfId="18136" xr:uid="{D22C9E68-4595-471F-BE5A-AEE99AEC1353}"/>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83" xr:uid="{8579154B-7CB6-484A-9316-0987894BC6C1}"/>
    <cellStyle name="Normal 12 2 2 5 2 2 3" xfId="24911" xr:uid="{35401E41-9053-4050-B0FE-3419EDB32C21}"/>
    <cellStyle name="Normal 12 2 2 5 2 3" xfId="12265" xr:uid="{F84FE5A0-FA4B-46E5-BA5F-142B6265EF82}"/>
    <cellStyle name="Normal 12 2 2 5 2 4" xfId="20694" xr:uid="{6707224F-DA84-409B-9F9B-1FD6BD6DCD28}"/>
    <cellStyle name="Normal 12 2 2 5 3" xfId="5909" xr:uid="{00000000-0005-0000-0000-0000EE0D0000}"/>
    <cellStyle name="Normal 12 2 2 5 3 2" xfId="14338" xr:uid="{4F7BA7A1-6E01-42A9-9728-0ED7E6280FC2}"/>
    <cellStyle name="Normal 12 2 2 5 3 3" xfId="22766" xr:uid="{821580C2-CFA5-4196-A7F5-2B5F00CEE8D9}"/>
    <cellStyle name="Normal 12 2 2 5 4" xfId="10120" xr:uid="{D48BE588-5842-4E6E-9977-F888E3C8ED56}"/>
    <cellStyle name="Normal 12 2 2 5 5" xfId="18549" xr:uid="{8F3F99C5-38BB-49BA-87F5-3D7A07114FAD}"/>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96" xr:uid="{20ED27E8-2F6F-4100-85FE-70350594F59A}"/>
    <cellStyle name="Normal 12 2 2 6 2 2 3" xfId="25324" xr:uid="{0D16D00C-F138-455D-AA8A-D41C0771D082}"/>
    <cellStyle name="Normal 12 2 2 6 2 3" xfId="12678" xr:uid="{D33FC0B1-41B9-453E-B3C1-9AFD202C6E31}"/>
    <cellStyle name="Normal 12 2 2 6 2 4" xfId="21107" xr:uid="{3ADA3F02-940E-483E-976D-6FE10F9BF97D}"/>
    <cellStyle name="Normal 12 2 2 6 3" xfId="6322" xr:uid="{00000000-0005-0000-0000-0000F20D0000}"/>
    <cellStyle name="Normal 12 2 2 6 3 2" xfId="14751" xr:uid="{6C71F1EE-29E2-4CEA-8014-914A37AD3E37}"/>
    <cellStyle name="Normal 12 2 2 6 3 3" xfId="23179" xr:uid="{BD91F45C-AFEA-4C27-A678-D9B92B1575A6}"/>
    <cellStyle name="Normal 12 2 2 6 4" xfId="10533" xr:uid="{2128FD93-0162-45E2-B69B-A488BAB87857}"/>
    <cellStyle name="Normal 12 2 2 6 5" xfId="18962" xr:uid="{EA60DDC8-8105-4AB6-A85E-E930ECB7D950}"/>
    <cellStyle name="Normal 12 2 2 7" xfId="2450" xr:uid="{00000000-0005-0000-0000-0000F30D0000}"/>
    <cellStyle name="Normal 12 2 2 7 2" xfId="6735" xr:uid="{00000000-0005-0000-0000-0000F40D0000}"/>
    <cellStyle name="Normal 12 2 2 7 2 2" xfId="15164" xr:uid="{B8D4EC54-CBEF-489A-9C21-7D6FFDFDE3EE}"/>
    <cellStyle name="Normal 12 2 2 7 2 3" xfId="23592" xr:uid="{812FDE74-3398-4E4E-8D1A-B3CF0C5B9741}"/>
    <cellStyle name="Normal 12 2 2 7 3" xfId="10946" xr:uid="{757CE420-7696-4BC3-ADE3-3FFC342CD83E}"/>
    <cellStyle name="Normal 12 2 2 7 4" xfId="19375" xr:uid="{0EC9E7FF-1146-4DB2-980C-6CAC343E6821}"/>
    <cellStyle name="Normal 12 2 2 8" xfId="4669" xr:uid="{00000000-0005-0000-0000-0000F50D0000}"/>
    <cellStyle name="Normal 12 2 2 8 2" xfId="13098" xr:uid="{7C140562-7F87-4747-A1CD-D45E322FD709}"/>
    <cellStyle name="Normal 12 2 2 8 3" xfId="21526" xr:uid="{25708A98-8C2B-4E06-8AA9-26E391DBFD01}"/>
    <cellStyle name="Normal 12 2 2 9" xfId="8880" xr:uid="{1ED49996-4719-482B-B97C-630D470896C3}"/>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9" xr:uid="{9FEF817C-012E-4967-92BB-6450E19A5595}"/>
    <cellStyle name="Normal 12 2 3 2 2 2 3" xfId="24087" xr:uid="{175A4E84-2A3D-438D-A308-F901AC3F5806}"/>
    <cellStyle name="Normal 12 2 3 2 2 3" xfId="11441" xr:uid="{98F22693-B34D-4FFD-94DD-09A732F09E7E}"/>
    <cellStyle name="Normal 12 2 3 2 2 4" xfId="19870" xr:uid="{76DE5D05-5A0B-42CF-B703-0DF1A1DBD06F}"/>
    <cellStyle name="Normal 12 2 3 2 3" xfId="5085" xr:uid="{00000000-0005-0000-0000-0000FA0D0000}"/>
    <cellStyle name="Normal 12 2 3 2 3 2" xfId="13514" xr:uid="{FE11E54D-1A97-4F2B-BCB9-8F4DA7DCB9E3}"/>
    <cellStyle name="Normal 12 2 3 2 3 3" xfId="21942" xr:uid="{16EE595A-9D54-44AA-B30E-1633D33D01A6}"/>
    <cellStyle name="Normal 12 2 3 2 4" xfId="9296" xr:uid="{C20F20B2-CAED-49BB-B085-AD5F19ED0484}"/>
    <cellStyle name="Normal 12 2 3 2 5" xfId="17725" xr:uid="{F0BC74D7-9B81-4187-9EB8-EA34C1382BFC}"/>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72" xr:uid="{85085334-0A3E-4F24-BC0E-1CABECD1F2C8}"/>
    <cellStyle name="Normal 12 2 3 3 2 2 3" xfId="24500" xr:uid="{4DEA3183-BFAE-4CD6-B1F7-41370D3B817F}"/>
    <cellStyle name="Normal 12 2 3 3 2 3" xfId="11854" xr:uid="{781A011E-AB40-41BD-981A-4FC4920EB154}"/>
    <cellStyle name="Normal 12 2 3 3 2 4" xfId="20283" xr:uid="{90F724CB-B304-4E3B-A239-0F6A9BE53FE7}"/>
    <cellStyle name="Normal 12 2 3 3 3" xfId="5498" xr:uid="{00000000-0005-0000-0000-0000FE0D0000}"/>
    <cellStyle name="Normal 12 2 3 3 3 2" xfId="13927" xr:uid="{DCFBC29B-B1DF-499E-9776-2946DDD4B8FD}"/>
    <cellStyle name="Normal 12 2 3 3 3 3" xfId="22355" xr:uid="{54BA318C-F426-4C45-BAE4-9E040C9EFBFE}"/>
    <cellStyle name="Normal 12 2 3 3 4" xfId="9709" xr:uid="{E82D0B10-63D0-4E78-8270-3E8AA1FFF094}"/>
    <cellStyle name="Normal 12 2 3 3 5" xfId="18138" xr:uid="{5D4508E6-26D1-4F50-BB58-2D057C60396E}"/>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85" xr:uid="{CD533167-9E2C-4921-9CD1-A57C28B934ED}"/>
    <cellStyle name="Normal 12 2 3 4 2 2 3" xfId="24913" xr:uid="{630E6975-7AF2-4CB6-BBFA-0F9C98A826AD}"/>
    <cellStyle name="Normal 12 2 3 4 2 3" xfId="12267" xr:uid="{ADDED64C-BC3E-4939-99C1-7D988D3DA861}"/>
    <cellStyle name="Normal 12 2 3 4 2 4" xfId="20696" xr:uid="{FB8CD6E9-7CDE-4462-A211-FB2A9BA70CAE}"/>
    <cellStyle name="Normal 12 2 3 4 3" xfId="5911" xr:uid="{00000000-0005-0000-0000-0000020E0000}"/>
    <cellStyle name="Normal 12 2 3 4 3 2" xfId="14340" xr:uid="{136649A2-EB9D-41D6-8E94-DD99BBB5D25D}"/>
    <cellStyle name="Normal 12 2 3 4 3 3" xfId="22768" xr:uid="{24D5935B-8A24-44C0-AD6D-5115AC8DA524}"/>
    <cellStyle name="Normal 12 2 3 4 4" xfId="10122" xr:uid="{6F57843F-2EF7-4042-B69D-A3BD8F52511D}"/>
    <cellStyle name="Normal 12 2 3 4 5" xfId="18551" xr:uid="{BBFCDA63-6047-4556-A374-0FFBF4D6F066}"/>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8" xr:uid="{5A80DDF2-6315-4BE2-9D59-67904C0308A2}"/>
    <cellStyle name="Normal 12 2 3 5 2 2 3" xfId="25326" xr:uid="{68174E1F-4653-4292-878A-B2D9DBFE927F}"/>
    <cellStyle name="Normal 12 2 3 5 2 3" xfId="12680" xr:uid="{CDA2CAEC-45F9-4192-A693-17C2D051F458}"/>
    <cellStyle name="Normal 12 2 3 5 2 4" xfId="21109" xr:uid="{BD45A1E6-2221-468C-8255-EBA27DD24D19}"/>
    <cellStyle name="Normal 12 2 3 5 3" xfId="6324" xr:uid="{00000000-0005-0000-0000-0000060E0000}"/>
    <cellStyle name="Normal 12 2 3 5 3 2" xfId="14753" xr:uid="{84F34A09-3C55-4019-8327-C4F130A58AD2}"/>
    <cellStyle name="Normal 12 2 3 5 3 3" xfId="23181" xr:uid="{EDBFA883-F336-43CB-9C99-F536CB598725}"/>
    <cellStyle name="Normal 12 2 3 5 4" xfId="10535" xr:uid="{6D1F200F-2551-4FA2-B594-A84E332F0C31}"/>
    <cellStyle name="Normal 12 2 3 5 5" xfId="18964" xr:uid="{6395BC14-CA41-40C7-B4F2-A89AEF758264}"/>
    <cellStyle name="Normal 12 2 3 6" xfId="2452" xr:uid="{00000000-0005-0000-0000-0000070E0000}"/>
    <cellStyle name="Normal 12 2 3 6 2" xfId="6737" xr:uid="{00000000-0005-0000-0000-0000080E0000}"/>
    <cellStyle name="Normal 12 2 3 6 2 2" xfId="15166" xr:uid="{7F0D24AC-1B98-412B-8EC6-6C4B4B24AB2C}"/>
    <cellStyle name="Normal 12 2 3 6 2 3" xfId="23594" xr:uid="{7F524E2B-2C80-43C8-A978-EF38694B83EA}"/>
    <cellStyle name="Normal 12 2 3 6 3" xfId="10948" xr:uid="{FD4A2AD5-ECEF-4DF3-9B59-6973C3FD9F4E}"/>
    <cellStyle name="Normal 12 2 3 6 4" xfId="19377" xr:uid="{E631D0C5-CA37-4652-8479-B50E5A36DD35}"/>
    <cellStyle name="Normal 12 2 3 7" xfId="4671" xr:uid="{00000000-0005-0000-0000-0000090E0000}"/>
    <cellStyle name="Normal 12 2 3 7 2" xfId="13100" xr:uid="{85A40EA2-5E6F-4E12-AC3D-1029AE00DCAC}"/>
    <cellStyle name="Normal 12 2 3 7 3" xfId="21528" xr:uid="{A38D9D6D-7CB6-4E64-ADE2-C786BBC88399}"/>
    <cellStyle name="Normal 12 2 3 8" xfId="8882" xr:uid="{5C3EA2E3-DDA2-4601-AC0F-D3EA4A466705}"/>
    <cellStyle name="Normal 12 2 3 9" xfId="17311" xr:uid="{4DB2141A-661B-4C9E-8EFD-0EDE41800ED7}"/>
    <cellStyle name="Normal 12 2 4" xfId="762" xr:uid="{00000000-0005-0000-0000-00000A0E0000}"/>
    <cellStyle name="Normal 12 2 4 2" xfId="3003" xr:uid="{00000000-0005-0000-0000-00000B0E0000}"/>
    <cellStyle name="Normal 12 2 4 2 2" xfId="7227" xr:uid="{00000000-0005-0000-0000-00000C0E0000}"/>
    <cellStyle name="Normal 12 2 4 2 2 2" xfId="15656" xr:uid="{72A2BBF9-3B7E-41F8-B903-F0B392F37654}"/>
    <cellStyle name="Normal 12 2 4 2 2 3" xfId="24084" xr:uid="{D7D5D46E-6EB7-4D2E-B562-974B1DA96049}"/>
    <cellStyle name="Normal 12 2 4 2 3" xfId="11438" xr:uid="{423DF566-320C-49AF-8A81-F7F03775863B}"/>
    <cellStyle name="Normal 12 2 4 2 4" xfId="19867" xr:uid="{02E35192-49A9-4003-8958-629BCF9E2EC1}"/>
    <cellStyle name="Normal 12 2 4 3" xfId="5082" xr:uid="{00000000-0005-0000-0000-00000D0E0000}"/>
    <cellStyle name="Normal 12 2 4 3 2" xfId="13511" xr:uid="{04D852CF-F3D7-42EE-84B1-71AC7C614315}"/>
    <cellStyle name="Normal 12 2 4 3 3" xfId="21939" xr:uid="{C4E805DD-1111-4496-B08C-54FBF7D7DFF6}"/>
    <cellStyle name="Normal 12 2 4 4" xfId="9293" xr:uid="{E0722183-E2EF-4008-944A-D7CF57AE9F2C}"/>
    <cellStyle name="Normal 12 2 4 5" xfId="17722" xr:uid="{07C8D181-4E79-4F01-80B4-91BBDCA981DA}"/>
    <cellStyle name="Normal 12 2 5" xfId="1185" xr:uid="{00000000-0005-0000-0000-00000E0E0000}"/>
    <cellStyle name="Normal 12 2 5 2" xfId="3416" xr:uid="{00000000-0005-0000-0000-00000F0E0000}"/>
    <cellStyle name="Normal 12 2 5 2 2" xfId="7640" xr:uid="{00000000-0005-0000-0000-0000100E0000}"/>
    <cellStyle name="Normal 12 2 5 2 2 2" xfId="16069" xr:uid="{61E31D05-EE36-4C4D-80CC-B3139C87D2BC}"/>
    <cellStyle name="Normal 12 2 5 2 2 3" xfId="24497" xr:uid="{30C16B04-5AFD-4EDA-8653-E1BEFB588405}"/>
    <cellStyle name="Normal 12 2 5 2 3" xfId="11851" xr:uid="{EECD6225-EA20-4D28-9B84-B2D6BFB71561}"/>
    <cellStyle name="Normal 12 2 5 2 4" xfId="20280" xr:uid="{3694ACD3-74FE-4A84-9671-515A2CF8673E}"/>
    <cellStyle name="Normal 12 2 5 3" xfId="5495" xr:uid="{00000000-0005-0000-0000-0000110E0000}"/>
    <cellStyle name="Normal 12 2 5 3 2" xfId="13924" xr:uid="{3BED371F-B22F-473B-9877-66D794A54985}"/>
    <cellStyle name="Normal 12 2 5 3 3" xfId="22352" xr:uid="{5839420A-2734-47BF-B089-E31E448D3D0B}"/>
    <cellStyle name="Normal 12 2 5 4" xfId="9706" xr:uid="{1ECC9817-A033-4D22-81E5-2411E81590F0}"/>
    <cellStyle name="Normal 12 2 5 5" xfId="18135" xr:uid="{75ACF6FE-6FC3-47A7-9E87-3575D54C0F58}"/>
    <cellStyle name="Normal 12 2 6" xfId="1599" xr:uid="{00000000-0005-0000-0000-0000120E0000}"/>
    <cellStyle name="Normal 12 2 6 2" xfId="3829" xr:uid="{00000000-0005-0000-0000-0000130E0000}"/>
    <cellStyle name="Normal 12 2 6 2 2" xfId="8053" xr:uid="{00000000-0005-0000-0000-0000140E0000}"/>
    <cellStyle name="Normal 12 2 6 2 2 2" xfId="16482" xr:uid="{D6997273-7283-4050-8C47-07B801C17704}"/>
    <cellStyle name="Normal 12 2 6 2 2 3" xfId="24910" xr:uid="{BCCE3D59-CE38-4B18-85A6-E425707F9EA1}"/>
    <cellStyle name="Normal 12 2 6 2 3" xfId="12264" xr:uid="{AA90D99D-BD80-44EB-B32A-CF505405C995}"/>
    <cellStyle name="Normal 12 2 6 2 4" xfId="20693" xr:uid="{6CC7C672-2803-4368-8421-3C5D3B4B4BB1}"/>
    <cellStyle name="Normal 12 2 6 3" xfId="5908" xr:uid="{00000000-0005-0000-0000-0000150E0000}"/>
    <cellStyle name="Normal 12 2 6 3 2" xfId="14337" xr:uid="{B3D1E9A3-A20C-4485-8A23-631ED6FB3F17}"/>
    <cellStyle name="Normal 12 2 6 3 3" xfId="22765" xr:uid="{F80A9094-9D2F-4405-BAEA-A96812C6DBD1}"/>
    <cellStyle name="Normal 12 2 6 4" xfId="10119" xr:uid="{D3064409-CCFC-43FF-AF45-DF967D8E7585}"/>
    <cellStyle name="Normal 12 2 6 5" xfId="18548" xr:uid="{5A4530B4-C223-451E-9625-FD38C687F3B8}"/>
    <cellStyle name="Normal 12 2 7" xfId="2013" xr:uid="{00000000-0005-0000-0000-0000160E0000}"/>
    <cellStyle name="Normal 12 2 7 2" xfId="4242" xr:uid="{00000000-0005-0000-0000-0000170E0000}"/>
    <cellStyle name="Normal 12 2 7 2 2" xfId="8466" xr:uid="{00000000-0005-0000-0000-0000180E0000}"/>
    <cellStyle name="Normal 12 2 7 2 2 2" xfId="16895" xr:uid="{B22921EC-CDE1-4209-8470-2631422C0260}"/>
    <cellStyle name="Normal 12 2 7 2 2 3" xfId="25323" xr:uid="{7F7B52DB-1D37-46EE-BFEF-47F9F7FCC69B}"/>
    <cellStyle name="Normal 12 2 7 2 3" xfId="12677" xr:uid="{E8CDB7C4-F893-42BB-A1DD-2C07BC8792A2}"/>
    <cellStyle name="Normal 12 2 7 2 4" xfId="21106" xr:uid="{4C44F7E4-C6FA-498E-8F82-4E76D8C4AAEA}"/>
    <cellStyle name="Normal 12 2 7 3" xfId="6321" xr:uid="{00000000-0005-0000-0000-0000190E0000}"/>
    <cellStyle name="Normal 12 2 7 3 2" xfId="14750" xr:uid="{68110662-F00A-479C-8671-788F9FCBBA7F}"/>
    <cellStyle name="Normal 12 2 7 3 3" xfId="23178" xr:uid="{2F6EDE9A-6421-45C0-B7EC-7AB73113B79C}"/>
    <cellStyle name="Normal 12 2 7 4" xfId="10532" xr:uid="{14D11F93-AB95-49BA-8A71-566605F825C9}"/>
    <cellStyle name="Normal 12 2 7 5" xfId="18961" xr:uid="{5EAAEAF1-554B-4147-B78A-B887DB0B5C4C}"/>
    <cellStyle name="Normal 12 2 8" xfId="2449" xr:uid="{00000000-0005-0000-0000-00001A0E0000}"/>
    <cellStyle name="Normal 12 2 8 2" xfId="6734" xr:uid="{00000000-0005-0000-0000-00001B0E0000}"/>
    <cellStyle name="Normal 12 2 8 2 2" xfId="15163" xr:uid="{BA1D41D6-557C-4BCC-BC04-EC96F9CD00D5}"/>
    <cellStyle name="Normal 12 2 8 2 3" xfId="23591" xr:uid="{B6EC6286-F0A4-4FC9-92F9-78FA6CD75B26}"/>
    <cellStyle name="Normal 12 2 8 3" xfId="10945" xr:uid="{B227E2D2-47A8-4DC2-BD0E-940E14C6AF4F}"/>
    <cellStyle name="Normal 12 2 8 4" xfId="19374" xr:uid="{51A91040-D8AC-406E-A285-BF1881272D70}"/>
    <cellStyle name="Normal 12 2 9" xfId="4668" xr:uid="{00000000-0005-0000-0000-00001C0E0000}"/>
    <cellStyle name="Normal 12 2 9 2" xfId="13097" xr:uid="{D37A04E6-A841-4163-842B-6AF7E8E78249}"/>
    <cellStyle name="Normal 12 2 9 3" xfId="21525" xr:uid="{0E16CEB7-5F00-40BC-9C0C-E0B8269502BA}"/>
    <cellStyle name="Normal 12 3" xfId="264" xr:uid="{00000000-0005-0000-0000-00001D0E0000}"/>
    <cellStyle name="Normal 12 3 10" xfId="17312" xr:uid="{EEA345F5-AA09-4107-8006-0987395C4682}"/>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61" xr:uid="{40F49233-6CA4-4EE0-A064-728071F9762B}"/>
    <cellStyle name="Normal 12 3 2 2 2 2 3" xfId="24089" xr:uid="{34EFA233-FE1D-4AA2-968E-2D3141095679}"/>
    <cellStyle name="Normal 12 3 2 2 2 3" xfId="11443" xr:uid="{C1D3A3D1-93A5-43E2-B722-28509868E536}"/>
    <cellStyle name="Normal 12 3 2 2 2 4" xfId="19872" xr:uid="{3E6913A4-F973-4866-AD27-44E46A17E8BD}"/>
    <cellStyle name="Normal 12 3 2 2 3" xfId="5087" xr:uid="{00000000-0005-0000-0000-0000220E0000}"/>
    <cellStyle name="Normal 12 3 2 2 3 2" xfId="13516" xr:uid="{4AB98D9B-609A-4892-8EA1-B016E2737794}"/>
    <cellStyle name="Normal 12 3 2 2 3 3" xfId="21944" xr:uid="{75E4AF29-019D-491F-8E81-9CDB79B06487}"/>
    <cellStyle name="Normal 12 3 2 2 4" xfId="9298" xr:uid="{8DCB9789-3805-4EC4-92B0-47B20506F051}"/>
    <cellStyle name="Normal 12 3 2 2 5" xfId="17727" xr:uid="{2D3B0215-EC4D-40D0-A183-65D5D63E1CD5}"/>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74" xr:uid="{72FD5608-F155-4573-B1D8-44EC6CC02D9A}"/>
    <cellStyle name="Normal 12 3 2 3 2 2 3" xfId="24502" xr:uid="{8A701ACE-A62B-424D-827F-863002235AC9}"/>
    <cellStyle name="Normal 12 3 2 3 2 3" xfId="11856" xr:uid="{CF837669-BFBA-4270-A451-089B08E1D27D}"/>
    <cellStyle name="Normal 12 3 2 3 2 4" xfId="20285" xr:uid="{6926A964-28F2-4E0B-8A65-C64EAC053D6C}"/>
    <cellStyle name="Normal 12 3 2 3 3" xfId="5500" xr:uid="{00000000-0005-0000-0000-0000260E0000}"/>
    <cellStyle name="Normal 12 3 2 3 3 2" xfId="13929" xr:uid="{7EB2FFA6-2360-4A81-96B2-2FA9D94FD1D6}"/>
    <cellStyle name="Normal 12 3 2 3 3 3" xfId="22357" xr:uid="{9A342678-0E33-4DBF-A2D1-87DF1F229527}"/>
    <cellStyle name="Normal 12 3 2 3 4" xfId="9711" xr:uid="{D08888EB-4E11-4DF4-A1C7-C53CAF31BCCA}"/>
    <cellStyle name="Normal 12 3 2 3 5" xfId="18140" xr:uid="{E2AB8A78-DE75-40C7-A98D-1D328771BE13}"/>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7" xr:uid="{FA12D7FF-D074-46EE-AA65-842902B23006}"/>
    <cellStyle name="Normal 12 3 2 4 2 2 3" xfId="24915" xr:uid="{C1022A49-06FF-43DA-9C0F-5158ED61AF1B}"/>
    <cellStyle name="Normal 12 3 2 4 2 3" xfId="12269" xr:uid="{ECDAB3DE-49EE-4A7D-BE34-9DA071639B9E}"/>
    <cellStyle name="Normal 12 3 2 4 2 4" xfId="20698" xr:uid="{1EEB6FCE-0CDF-4D15-B29F-5AC5662955A8}"/>
    <cellStyle name="Normal 12 3 2 4 3" xfId="5913" xr:uid="{00000000-0005-0000-0000-00002A0E0000}"/>
    <cellStyle name="Normal 12 3 2 4 3 2" xfId="14342" xr:uid="{435B530E-ACC4-4754-997E-2DC28B03CC24}"/>
    <cellStyle name="Normal 12 3 2 4 3 3" xfId="22770" xr:uid="{7A9E9C1C-06DF-44CF-A25F-D3A5F55E89A9}"/>
    <cellStyle name="Normal 12 3 2 4 4" xfId="10124" xr:uid="{64F2BDEC-9EF5-4365-B43A-50D3101A8574}"/>
    <cellStyle name="Normal 12 3 2 4 5" xfId="18553" xr:uid="{C5597886-0879-4CF7-89B7-12C944D7E99C}"/>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900" xr:uid="{D85680A6-4C9D-4B82-8F12-3B3FEE160A84}"/>
    <cellStyle name="Normal 12 3 2 5 2 2 3" xfId="25328" xr:uid="{C1DA4F99-9AB1-40EA-9701-6027A9793C61}"/>
    <cellStyle name="Normal 12 3 2 5 2 3" xfId="12682" xr:uid="{91DBB33A-8536-4786-B1E7-186E8C148A2D}"/>
    <cellStyle name="Normal 12 3 2 5 2 4" xfId="21111" xr:uid="{4C918161-5626-470D-8D34-8C02782DA7C6}"/>
    <cellStyle name="Normal 12 3 2 5 3" xfId="6326" xr:uid="{00000000-0005-0000-0000-00002E0E0000}"/>
    <cellStyle name="Normal 12 3 2 5 3 2" xfId="14755" xr:uid="{1F431810-DAED-48F9-BC21-0030FA8A40D0}"/>
    <cellStyle name="Normal 12 3 2 5 3 3" xfId="23183" xr:uid="{26912596-25B4-4123-B606-6169E1E0A48C}"/>
    <cellStyle name="Normal 12 3 2 5 4" xfId="10537" xr:uid="{EA3270CC-4A6E-4F47-8871-484D88B2865B}"/>
    <cellStyle name="Normal 12 3 2 5 5" xfId="18966" xr:uid="{D41888E0-9D95-4FC8-970C-BF56DE9A8E60}"/>
    <cellStyle name="Normal 12 3 2 6" xfId="2454" xr:uid="{00000000-0005-0000-0000-00002F0E0000}"/>
    <cellStyle name="Normal 12 3 2 6 2" xfId="6739" xr:uid="{00000000-0005-0000-0000-0000300E0000}"/>
    <cellStyle name="Normal 12 3 2 6 2 2" xfId="15168" xr:uid="{A2DA30B0-7750-4A16-893F-055F5EBB1645}"/>
    <cellStyle name="Normal 12 3 2 6 2 3" xfId="23596" xr:uid="{3E1C6058-49F0-40E2-B25E-CE413BBCA097}"/>
    <cellStyle name="Normal 12 3 2 6 3" xfId="10950" xr:uid="{D2D89D15-719B-4CD8-BD3A-95C91DB48A1E}"/>
    <cellStyle name="Normal 12 3 2 6 4" xfId="19379" xr:uid="{D2579997-E28D-41CD-BD2C-887B2088FCDB}"/>
    <cellStyle name="Normal 12 3 2 7" xfId="4673" xr:uid="{00000000-0005-0000-0000-0000310E0000}"/>
    <cellStyle name="Normal 12 3 2 7 2" xfId="13102" xr:uid="{E5466FB8-A7DA-4BFE-B1A1-285DCE5E4A84}"/>
    <cellStyle name="Normal 12 3 2 7 3" xfId="21530" xr:uid="{938048D0-D6F3-4EF3-BAE6-C73F617B9DA6}"/>
    <cellStyle name="Normal 12 3 2 8" xfId="8884" xr:uid="{D1F83401-41E2-452F-9E69-27F62F2BF176}"/>
    <cellStyle name="Normal 12 3 2 9" xfId="17313" xr:uid="{2DFA8240-806B-4701-AC4D-F7837CE46357}"/>
    <cellStyle name="Normal 12 3 3" xfId="766" xr:uid="{00000000-0005-0000-0000-0000320E0000}"/>
    <cellStyle name="Normal 12 3 3 2" xfId="3007" xr:uid="{00000000-0005-0000-0000-0000330E0000}"/>
    <cellStyle name="Normal 12 3 3 2 2" xfId="7231" xr:uid="{00000000-0005-0000-0000-0000340E0000}"/>
    <cellStyle name="Normal 12 3 3 2 2 2" xfId="15660" xr:uid="{F49F1EDC-AE70-4AF7-8D0C-D740B6E0A1BD}"/>
    <cellStyle name="Normal 12 3 3 2 2 3" xfId="24088" xr:uid="{929CD313-5E8C-48EB-84A0-82E76F866ACA}"/>
    <cellStyle name="Normal 12 3 3 2 3" xfId="11442" xr:uid="{95B8EA3B-06FA-4773-915E-2FD9598F9703}"/>
    <cellStyle name="Normal 12 3 3 2 4" xfId="19871" xr:uid="{951115D5-79FD-41CF-B390-630AB019893E}"/>
    <cellStyle name="Normal 12 3 3 3" xfId="5086" xr:uid="{00000000-0005-0000-0000-0000350E0000}"/>
    <cellStyle name="Normal 12 3 3 3 2" xfId="13515" xr:uid="{C73DA282-C23F-4740-A047-779B50B26BA3}"/>
    <cellStyle name="Normal 12 3 3 3 3" xfId="21943" xr:uid="{FBEDC5BC-F398-4422-8640-1837630EC7D4}"/>
    <cellStyle name="Normal 12 3 3 4" xfId="9297" xr:uid="{CBEBECF5-A805-404F-8D3B-BE1109B674F0}"/>
    <cellStyle name="Normal 12 3 3 5" xfId="17726" xr:uid="{012D6100-E4FA-41C9-9171-DD9E96FA485E}"/>
    <cellStyle name="Normal 12 3 4" xfId="1189" xr:uid="{00000000-0005-0000-0000-0000360E0000}"/>
    <cellStyle name="Normal 12 3 4 2" xfId="3420" xr:uid="{00000000-0005-0000-0000-0000370E0000}"/>
    <cellStyle name="Normal 12 3 4 2 2" xfId="7644" xr:uid="{00000000-0005-0000-0000-0000380E0000}"/>
    <cellStyle name="Normal 12 3 4 2 2 2" xfId="16073" xr:uid="{DE11AD6C-7D96-44D1-BF9F-7453A0F15C58}"/>
    <cellStyle name="Normal 12 3 4 2 2 3" xfId="24501" xr:uid="{18A3B5F2-A702-442D-BDF6-EEA8980C012A}"/>
    <cellStyle name="Normal 12 3 4 2 3" xfId="11855" xr:uid="{2CAAC56D-9C6E-4089-B997-96CCD4E60026}"/>
    <cellStyle name="Normal 12 3 4 2 4" xfId="20284" xr:uid="{3D3EBF60-5DCD-46BA-8E1D-97EE8E291DB9}"/>
    <cellStyle name="Normal 12 3 4 3" xfId="5499" xr:uid="{00000000-0005-0000-0000-0000390E0000}"/>
    <cellStyle name="Normal 12 3 4 3 2" xfId="13928" xr:uid="{C7A3E8C9-0120-4C1E-AC6A-753FDF4F29EE}"/>
    <cellStyle name="Normal 12 3 4 3 3" xfId="22356" xr:uid="{C4EBC7D8-562E-4246-8544-EA7A8B4005DA}"/>
    <cellStyle name="Normal 12 3 4 4" xfId="9710" xr:uid="{0B024234-DE91-4607-B6C9-7439BF5C3907}"/>
    <cellStyle name="Normal 12 3 4 5" xfId="18139" xr:uid="{789FD661-DA64-49EF-A412-DBD7B9337B9F}"/>
    <cellStyle name="Normal 12 3 5" xfId="1603" xr:uid="{00000000-0005-0000-0000-00003A0E0000}"/>
    <cellStyle name="Normal 12 3 5 2" xfId="3833" xr:uid="{00000000-0005-0000-0000-00003B0E0000}"/>
    <cellStyle name="Normal 12 3 5 2 2" xfId="8057" xr:uid="{00000000-0005-0000-0000-00003C0E0000}"/>
    <cellStyle name="Normal 12 3 5 2 2 2" xfId="16486" xr:uid="{22CD7D23-1987-4573-B6B8-9939DDA3979D}"/>
    <cellStyle name="Normal 12 3 5 2 2 3" xfId="24914" xr:uid="{807F14C7-EF0B-449C-838F-BE58EE29365E}"/>
    <cellStyle name="Normal 12 3 5 2 3" xfId="12268" xr:uid="{D9B2BC76-393F-4B06-BB5A-95552455D986}"/>
    <cellStyle name="Normal 12 3 5 2 4" xfId="20697" xr:uid="{11210251-2FCB-4555-B50F-5817DD61B937}"/>
    <cellStyle name="Normal 12 3 5 3" xfId="5912" xr:uid="{00000000-0005-0000-0000-00003D0E0000}"/>
    <cellStyle name="Normal 12 3 5 3 2" xfId="14341" xr:uid="{473F571F-0DFF-47F8-9DB6-7191FD32DE53}"/>
    <cellStyle name="Normal 12 3 5 3 3" xfId="22769" xr:uid="{7B63A87E-09EB-4EA8-AC9F-6B790577843D}"/>
    <cellStyle name="Normal 12 3 5 4" xfId="10123" xr:uid="{0F681EB4-E382-4662-8E73-50BF2A53743F}"/>
    <cellStyle name="Normal 12 3 5 5" xfId="18552" xr:uid="{0F30DF8E-1E86-40A3-BE8B-79B78D88BC7F}"/>
    <cellStyle name="Normal 12 3 6" xfId="2017" xr:uid="{00000000-0005-0000-0000-00003E0E0000}"/>
    <cellStyle name="Normal 12 3 6 2" xfId="4246" xr:uid="{00000000-0005-0000-0000-00003F0E0000}"/>
    <cellStyle name="Normal 12 3 6 2 2" xfId="8470" xr:uid="{00000000-0005-0000-0000-0000400E0000}"/>
    <cellStyle name="Normal 12 3 6 2 2 2" xfId="16899" xr:uid="{33C74A30-D73D-403B-A6C2-3EB19D90CE6D}"/>
    <cellStyle name="Normal 12 3 6 2 2 3" xfId="25327" xr:uid="{576C3C3A-153A-429C-BF64-F1F56EA9EAA1}"/>
    <cellStyle name="Normal 12 3 6 2 3" xfId="12681" xr:uid="{8470A1F6-0E8F-4D56-88F3-172C59D23D0E}"/>
    <cellStyle name="Normal 12 3 6 2 4" xfId="21110" xr:uid="{7A7BF697-E3BB-4986-B609-C7EBEF09FA51}"/>
    <cellStyle name="Normal 12 3 6 3" xfId="6325" xr:uid="{00000000-0005-0000-0000-0000410E0000}"/>
    <cellStyle name="Normal 12 3 6 3 2" xfId="14754" xr:uid="{9E8BA761-FAFA-4E78-A6CB-E21767F7251A}"/>
    <cellStyle name="Normal 12 3 6 3 3" xfId="23182" xr:uid="{E8E1D7C9-A47D-4A88-BEEA-2DCD4A98B66C}"/>
    <cellStyle name="Normal 12 3 6 4" xfId="10536" xr:uid="{9C80A5DA-A645-4C29-BA19-B3C634759FE6}"/>
    <cellStyle name="Normal 12 3 6 5" xfId="18965" xr:uid="{0CC53DE1-2CE7-4F5C-A443-E3C3A38F781F}"/>
    <cellStyle name="Normal 12 3 7" xfId="2453" xr:uid="{00000000-0005-0000-0000-0000420E0000}"/>
    <cellStyle name="Normal 12 3 7 2" xfId="6738" xr:uid="{00000000-0005-0000-0000-0000430E0000}"/>
    <cellStyle name="Normal 12 3 7 2 2" xfId="15167" xr:uid="{0EF01935-506F-490C-8327-058ACB9B6DA1}"/>
    <cellStyle name="Normal 12 3 7 2 3" xfId="23595" xr:uid="{27AB426A-8A57-4C4F-807C-783CF3C3315F}"/>
    <cellStyle name="Normal 12 3 7 3" xfId="10949" xr:uid="{F116A5DA-BF51-45AB-AAC8-71B91B40F0A2}"/>
    <cellStyle name="Normal 12 3 7 4" xfId="19378" xr:uid="{FDEC9728-3839-442C-BF22-4DA5A002793A}"/>
    <cellStyle name="Normal 12 3 8" xfId="4672" xr:uid="{00000000-0005-0000-0000-0000440E0000}"/>
    <cellStyle name="Normal 12 3 8 2" xfId="13101" xr:uid="{F3EE8A40-251C-45FE-9ABC-3F2A588C3C72}"/>
    <cellStyle name="Normal 12 3 8 3" xfId="21529" xr:uid="{1E55AEEE-B5A8-4386-8BAA-A1E5E3D7DEBC}"/>
    <cellStyle name="Normal 12 3 9" xfId="8883" xr:uid="{B85FF981-7BFB-459E-98E5-9A829E1AA37D}"/>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62" xr:uid="{D9809737-8A47-4FA6-804D-336308DB4B38}"/>
    <cellStyle name="Normal 12 4 2 2 2 3" xfId="24090" xr:uid="{A9C091DF-2576-41BD-8C57-DEF19ADEE068}"/>
    <cellStyle name="Normal 12 4 2 2 3" xfId="11444" xr:uid="{1D7F12E7-3C1B-4505-8734-71D489E221CA}"/>
    <cellStyle name="Normal 12 4 2 2 4" xfId="19873" xr:uid="{D7D0BD43-C54D-419A-A092-C1CE9FC4B149}"/>
    <cellStyle name="Normal 12 4 2 3" xfId="5088" xr:uid="{00000000-0005-0000-0000-0000490E0000}"/>
    <cellStyle name="Normal 12 4 2 3 2" xfId="13517" xr:uid="{015FA5C8-68B5-4893-9667-FEC7483137A5}"/>
    <cellStyle name="Normal 12 4 2 3 3" xfId="21945" xr:uid="{3DF23333-97EB-4C1C-8492-E30788B1530F}"/>
    <cellStyle name="Normal 12 4 2 4" xfId="9299" xr:uid="{CFFEACE3-20AF-4C2B-90B3-0CE84E98FC24}"/>
    <cellStyle name="Normal 12 4 2 5" xfId="17728" xr:uid="{C1E2F525-9793-489B-A371-FCF4CE58445D}"/>
    <cellStyle name="Normal 12 4 3" xfId="1191" xr:uid="{00000000-0005-0000-0000-00004A0E0000}"/>
    <cellStyle name="Normal 12 4 3 2" xfId="3422" xr:uid="{00000000-0005-0000-0000-00004B0E0000}"/>
    <cellStyle name="Normal 12 4 3 2 2" xfId="7646" xr:uid="{00000000-0005-0000-0000-00004C0E0000}"/>
    <cellStyle name="Normal 12 4 3 2 2 2" xfId="16075" xr:uid="{61107995-8489-4EF5-A31A-63949E5F0F14}"/>
    <cellStyle name="Normal 12 4 3 2 2 3" xfId="24503" xr:uid="{32648B9A-9833-4D36-9F00-A5B78F983A87}"/>
    <cellStyle name="Normal 12 4 3 2 3" xfId="11857" xr:uid="{CE68EDA3-AC84-41C3-8FF3-AEF5222A2F5A}"/>
    <cellStyle name="Normal 12 4 3 2 4" xfId="20286" xr:uid="{A54B0D83-8AE5-4035-AFBC-78C17578DA69}"/>
    <cellStyle name="Normal 12 4 3 3" xfId="5501" xr:uid="{00000000-0005-0000-0000-00004D0E0000}"/>
    <cellStyle name="Normal 12 4 3 3 2" xfId="13930" xr:uid="{7877ED5D-5816-471A-AB31-54265F33518A}"/>
    <cellStyle name="Normal 12 4 3 3 3" xfId="22358" xr:uid="{3D3AC25A-11B0-4567-9745-0ED85D04151E}"/>
    <cellStyle name="Normal 12 4 3 4" xfId="9712" xr:uid="{2DBEE9F2-63F5-48FA-BAE2-6D035E4C4BDD}"/>
    <cellStyle name="Normal 12 4 3 5" xfId="18141" xr:uid="{F3D7B656-F129-46F7-810A-57DF3460EDEA}"/>
    <cellStyle name="Normal 12 4 4" xfId="1605" xr:uid="{00000000-0005-0000-0000-00004E0E0000}"/>
    <cellStyle name="Normal 12 4 4 2" xfId="3835" xr:uid="{00000000-0005-0000-0000-00004F0E0000}"/>
    <cellStyle name="Normal 12 4 4 2 2" xfId="8059" xr:uid="{00000000-0005-0000-0000-0000500E0000}"/>
    <cellStyle name="Normal 12 4 4 2 2 2" xfId="16488" xr:uid="{F58FE0FB-2519-4774-B337-60AB46A66108}"/>
    <cellStyle name="Normal 12 4 4 2 2 3" xfId="24916" xr:uid="{8BC4055F-1858-4C6A-B10F-4ED9ADD9D0E7}"/>
    <cellStyle name="Normal 12 4 4 2 3" xfId="12270" xr:uid="{D216B58D-D74D-4D42-B494-40F310697368}"/>
    <cellStyle name="Normal 12 4 4 2 4" xfId="20699" xr:uid="{C6C0EA45-3C87-43C7-AF7B-12D3EBA7A375}"/>
    <cellStyle name="Normal 12 4 4 3" xfId="5914" xr:uid="{00000000-0005-0000-0000-0000510E0000}"/>
    <cellStyle name="Normal 12 4 4 3 2" xfId="14343" xr:uid="{7F8A85C1-A6B0-4F6E-AE56-A772A9276164}"/>
    <cellStyle name="Normal 12 4 4 3 3" xfId="22771" xr:uid="{B33461B5-D541-4816-94F1-5232204C88CB}"/>
    <cellStyle name="Normal 12 4 4 4" xfId="10125" xr:uid="{39AAD795-5987-4543-8E17-37C1DDB5A179}"/>
    <cellStyle name="Normal 12 4 4 5" xfId="18554" xr:uid="{706FB811-F83A-49BA-ADCC-F0D0A0287A4C}"/>
    <cellStyle name="Normal 12 4 5" xfId="2019" xr:uid="{00000000-0005-0000-0000-0000520E0000}"/>
    <cellStyle name="Normal 12 4 5 2" xfId="4248" xr:uid="{00000000-0005-0000-0000-0000530E0000}"/>
    <cellStyle name="Normal 12 4 5 2 2" xfId="8472" xr:uid="{00000000-0005-0000-0000-0000540E0000}"/>
    <cellStyle name="Normal 12 4 5 2 2 2" xfId="16901" xr:uid="{9A7D25F3-75A9-46B1-BA75-BD407C217542}"/>
    <cellStyle name="Normal 12 4 5 2 2 3" xfId="25329" xr:uid="{C6448C07-EA59-4A5E-AF01-B077178FC8A4}"/>
    <cellStyle name="Normal 12 4 5 2 3" xfId="12683" xr:uid="{DD9CC948-7B4D-43D4-963C-AA0BF5700674}"/>
    <cellStyle name="Normal 12 4 5 2 4" xfId="21112" xr:uid="{294A5671-20A8-4F0D-A2E3-FCAFF74EB75B}"/>
    <cellStyle name="Normal 12 4 5 3" xfId="6327" xr:uid="{00000000-0005-0000-0000-0000550E0000}"/>
    <cellStyle name="Normal 12 4 5 3 2" xfId="14756" xr:uid="{B836AD3A-40B4-48A7-8C1D-9F09FB184A33}"/>
    <cellStyle name="Normal 12 4 5 3 3" xfId="23184" xr:uid="{1B5CE901-F01F-4A5B-8D63-CA31450B3E12}"/>
    <cellStyle name="Normal 12 4 5 4" xfId="10538" xr:uid="{B7FDAC12-E997-4146-8E7A-1F4569B42484}"/>
    <cellStyle name="Normal 12 4 5 5" xfId="18967" xr:uid="{4297E0CB-84BC-4CD4-A995-D1F3200A0268}"/>
    <cellStyle name="Normal 12 4 6" xfId="2455" xr:uid="{00000000-0005-0000-0000-0000560E0000}"/>
    <cellStyle name="Normal 12 4 6 2" xfId="6740" xr:uid="{00000000-0005-0000-0000-0000570E0000}"/>
    <cellStyle name="Normal 12 4 6 2 2" xfId="15169" xr:uid="{995D62BA-C7EE-4345-8F30-BFA62C92F87A}"/>
    <cellStyle name="Normal 12 4 6 2 3" xfId="23597" xr:uid="{A6974AFB-6353-4BC8-AA53-63E3C94C4CD0}"/>
    <cellStyle name="Normal 12 4 6 3" xfId="10951" xr:uid="{0F0FC3A6-16A7-4D90-A2B7-6CF4A2BB6AD6}"/>
    <cellStyle name="Normal 12 4 6 4" xfId="19380" xr:uid="{EB911A0B-6481-4F2E-A0B8-F3CE58EC0D79}"/>
    <cellStyle name="Normal 12 4 7" xfId="4674" xr:uid="{00000000-0005-0000-0000-0000580E0000}"/>
    <cellStyle name="Normal 12 4 7 2" xfId="13103" xr:uid="{5A346808-0D1C-4A48-BCAE-3F8CE4648B57}"/>
    <cellStyle name="Normal 12 4 7 3" xfId="21531" xr:uid="{3897C682-2689-472F-B30C-251E32B6406B}"/>
    <cellStyle name="Normal 12 4 8" xfId="8885" xr:uid="{B580FB16-3D8E-4063-A1F7-5481C6204EA7}"/>
    <cellStyle name="Normal 12 4 9" xfId="17314" xr:uid="{A6A553EE-AEBD-485F-848E-141C808C2F95}"/>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55" xr:uid="{3ADDCDF9-774A-40FE-9927-EF0A4F46D760}"/>
    <cellStyle name="Normal 12 6 2 2 3" xfId="24083" xr:uid="{20DE1820-BBBE-41DD-A179-144126E5C492}"/>
    <cellStyle name="Normal 12 6 2 3" xfId="11437" xr:uid="{36CA102C-44CE-413B-9015-E0C4B5D8B845}"/>
    <cellStyle name="Normal 12 6 2 4" xfId="19866" xr:uid="{E900490A-1949-4681-9A5B-0D0667D81653}"/>
    <cellStyle name="Normal 12 6 3" xfId="5081" xr:uid="{00000000-0005-0000-0000-00005D0E0000}"/>
    <cellStyle name="Normal 12 6 3 2" xfId="13510" xr:uid="{80D9F722-E3DC-4C45-B3C9-BEEFDCC555D4}"/>
    <cellStyle name="Normal 12 6 3 3" xfId="21938" xr:uid="{06455B72-9B0A-4401-AA68-F4876A318219}"/>
    <cellStyle name="Normal 12 6 4" xfId="9292" xr:uid="{47F514D5-9249-4683-827C-3CB8BB44BE24}"/>
    <cellStyle name="Normal 12 6 5" xfId="17721" xr:uid="{5B1DB5DE-672C-4545-AA8E-07B8E28B9A49}"/>
    <cellStyle name="Normal 12 7" xfId="1184" xr:uid="{00000000-0005-0000-0000-00005E0E0000}"/>
    <cellStyle name="Normal 12 7 2" xfId="3415" xr:uid="{00000000-0005-0000-0000-00005F0E0000}"/>
    <cellStyle name="Normal 12 7 2 2" xfId="7639" xr:uid="{00000000-0005-0000-0000-0000600E0000}"/>
    <cellStyle name="Normal 12 7 2 2 2" xfId="16068" xr:uid="{A9A69436-BD97-416B-9EB2-5E8488BC8757}"/>
    <cellStyle name="Normal 12 7 2 2 3" xfId="24496" xr:uid="{8B2E19D4-F849-4F8F-A720-3F95E18DF645}"/>
    <cellStyle name="Normal 12 7 2 3" xfId="11850" xr:uid="{D3F1F79D-8448-4982-9C36-60E385056929}"/>
    <cellStyle name="Normal 12 7 2 4" xfId="20279" xr:uid="{67EFB938-3D67-4040-A5D4-CD7C96042184}"/>
    <cellStyle name="Normal 12 7 3" xfId="5494" xr:uid="{00000000-0005-0000-0000-0000610E0000}"/>
    <cellStyle name="Normal 12 7 3 2" xfId="13923" xr:uid="{7D3048F5-12F8-43EF-9A58-75C3DBD8D208}"/>
    <cellStyle name="Normal 12 7 3 3" xfId="22351" xr:uid="{2CDF6837-0741-4C79-A1BA-445E7B1FA213}"/>
    <cellStyle name="Normal 12 7 4" xfId="9705" xr:uid="{91B1CD5A-E681-4182-B13B-3C0EC98D13BB}"/>
    <cellStyle name="Normal 12 7 5" xfId="18134" xr:uid="{F103B78A-7FA2-4700-A55E-FEB1C5AE4759}"/>
    <cellStyle name="Normal 12 8" xfId="1598" xr:uid="{00000000-0005-0000-0000-0000620E0000}"/>
    <cellStyle name="Normal 12 8 2" xfId="3828" xr:uid="{00000000-0005-0000-0000-0000630E0000}"/>
    <cellStyle name="Normal 12 8 2 2" xfId="8052" xr:uid="{00000000-0005-0000-0000-0000640E0000}"/>
    <cellStyle name="Normal 12 8 2 2 2" xfId="16481" xr:uid="{A54145CB-DFF7-4E04-B06D-8BE773DFCA6F}"/>
    <cellStyle name="Normal 12 8 2 2 3" xfId="24909" xr:uid="{52B41519-1579-4561-9021-7602BB26C1AA}"/>
    <cellStyle name="Normal 12 8 2 3" xfId="12263" xr:uid="{0BF98D64-FEF0-4353-972D-29A0D4A1CB27}"/>
    <cellStyle name="Normal 12 8 2 4" xfId="20692" xr:uid="{512BC50F-A712-4ECA-B9C5-2633112542A5}"/>
    <cellStyle name="Normal 12 8 3" xfId="5907" xr:uid="{00000000-0005-0000-0000-0000650E0000}"/>
    <cellStyle name="Normal 12 8 3 2" xfId="14336" xr:uid="{63F22302-DD67-46B5-A548-8607ED412E78}"/>
    <cellStyle name="Normal 12 8 3 3" xfId="22764" xr:uid="{3DB334C2-ADDD-4691-BBF9-D1EBB93C8C76}"/>
    <cellStyle name="Normal 12 8 4" xfId="10118" xr:uid="{F493AC18-352F-4CAE-AB44-169A47B38A55}"/>
    <cellStyle name="Normal 12 8 5" xfId="18547" xr:uid="{3781AD39-838E-4909-BD59-6173AA74EA4F}"/>
    <cellStyle name="Normal 12 9" xfId="2012" xr:uid="{00000000-0005-0000-0000-0000660E0000}"/>
    <cellStyle name="Normal 12 9 2" xfId="4241" xr:uid="{00000000-0005-0000-0000-0000670E0000}"/>
    <cellStyle name="Normal 12 9 2 2" xfId="8465" xr:uid="{00000000-0005-0000-0000-0000680E0000}"/>
    <cellStyle name="Normal 12 9 2 2 2" xfId="16894" xr:uid="{EA52AEEA-0F51-425B-8BB7-15BC438574B2}"/>
    <cellStyle name="Normal 12 9 2 2 3" xfId="25322" xr:uid="{EAFF7F28-0876-407C-8DED-1A32C2F316A3}"/>
    <cellStyle name="Normal 12 9 2 3" xfId="12676" xr:uid="{D29DE100-CAA0-44E0-AE04-BF278280C753}"/>
    <cellStyle name="Normal 12 9 2 4" xfId="21105" xr:uid="{ECDA6548-9559-4F50-A446-D2182B37B601}"/>
    <cellStyle name="Normal 12 9 3" xfId="6320" xr:uid="{00000000-0005-0000-0000-0000690E0000}"/>
    <cellStyle name="Normal 12 9 3 2" xfId="14749" xr:uid="{F36EAB77-E34A-42F8-A4BA-FA7947233AD9}"/>
    <cellStyle name="Normal 12 9 3 3" xfId="23177" xr:uid="{804E46D1-06BC-4F30-868D-2AD4F60CC241}"/>
    <cellStyle name="Normal 12 9 4" xfId="10531" xr:uid="{8BF00328-8367-4A12-A378-79C664F7CF19}"/>
    <cellStyle name="Normal 12 9 5" xfId="18960" xr:uid="{D6955502-E953-407F-BB83-EEEF802097D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63" xr:uid="{F4D84968-D71F-46AF-B511-6104ACC774AF}"/>
    <cellStyle name="Normal 14 2 2 2 3" xfId="24091" xr:uid="{0460768D-A515-400C-93BB-DF0A58F776C9}"/>
    <cellStyle name="Normal 14 2 2 3" xfId="11445" xr:uid="{2514EBF7-270E-46CF-A94D-C37E764A83F5}"/>
    <cellStyle name="Normal 14 2 2 4" xfId="19874" xr:uid="{D08431B4-3673-436D-B340-7B3B52C48472}"/>
    <cellStyle name="Normal 14 2 3" xfId="5089" xr:uid="{00000000-0005-0000-0000-0000700E0000}"/>
    <cellStyle name="Normal 14 2 3 2" xfId="13518" xr:uid="{7990F6A9-497C-4AE6-A8AE-AB049576A00D}"/>
    <cellStyle name="Normal 14 2 3 3" xfId="21946" xr:uid="{8E3404B8-C42F-47C5-AA90-10157D343C89}"/>
    <cellStyle name="Normal 14 2 4" xfId="9300" xr:uid="{DE74BA3A-910B-4653-B718-40A109E4AE62}"/>
    <cellStyle name="Normal 14 2 5" xfId="17729" xr:uid="{5E54A0AC-C9AC-4CF9-9D76-974A832A0976}"/>
    <cellStyle name="Normal 14 3" xfId="1192" xr:uid="{00000000-0005-0000-0000-0000710E0000}"/>
    <cellStyle name="Normal 14 3 2" xfId="3423" xr:uid="{00000000-0005-0000-0000-0000720E0000}"/>
    <cellStyle name="Normal 14 3 2 2" xfId="7647" xr:uid="{00000000-0005-0000-0000-0000730E0000}"/>
    <cellStyle name="Normal 14 3 2 2 2" xfId="16076" xr:uid="{D5C2FAC8-3C7C-49B4-9BCB-62F15F0732C7}"/>
    <cellStyle name="Normal 14 3 2 2 3" xfId="24504" xr:uid="{2EA72A24-4E69-4001-A559-C4599BD2A29C}"/>
    <cellStyle name="Normal 14 3 2 3" xfId="11858" xr:uid="{6E3748B4-346B-4047-9E66-C53103CA91C8}"/>
    <cellStyle name="Normal 14 3 2 4" xfId="20287" xr:uid="{EE4A5A4F-622B-48CC-B4BB-CF71E8D980E2}"/>
    <cellStyle name="Normal 14 3 3" xfId="5502" xr:uid="{00000000-0005-0000-0000-0000740E0000}"/>
    <cellStyle name="Normal 14 3 3 2" xfId="13931" xr:uid="{E986DC41-3BF6-4B87-B372-6276148D885F}"/>
    <cellStyle name="Normal 14 3 3 3" xfId="22359" xr:uid="{3A51891F-BFD6-4D12-854C-F99E10C36380}"/>
    <cellStyle name="Normal 14 3 4" xfId="9713" xr:uid="{87BE9455-B92E-4E16-918F-D45D674E8BB9}"/>
    <cellStyle name="Normal 14 3 5" xfId="18142" xr:uid="{235D0CDF-22A7-4BFF-BC7B-2CFEF129FFFF}"/>
    <cellStyle name="Normal 14 4" xfId="1606" xr:uid="{00000000-0005-0000-0000-0000750E0000}"/>
    <cellStyle name="Normal 14 4 2" xfId="3836" xr:uid="{00000000-0005-0000-0000-0000760E0000}"/>
    <cellStyle name="Normal 14 4 2 2" xfId="8060" xr:uid="{00000000-0005-0000-0000-0000770E0000}"/>
    <cellStyle name="Normal 14 4 2 2 2" xfId="16489" xr:uid="{0600B4D0-31CD-428A-AE7D-B2E4C42FBA52}"/>
    <cellStyle name="Normal 14 4 2 2 3" xfId="24917" xr:uid="{24E86CE0-F888-4F74-9288-9ECF57F73888}"/>
    <cellStyle name="Normal 14 4 2 3" xfId="12271" xr:uid="{3900C1D6-400A-41F3-9343-2B71D9D08947}"/>
    <cellStyle name="Normal 14 4 2 4" xfId="20700" xr:uid="{DFC5AFD6-DF79-40F6-8FD8-DC4614F0C5CD}"/>
    <cellStyle name="Normal 14 4 3" xfId="5915" xr:uid="{00000000-0005-0000-0000-0000780E0000}"/>
    <cellStyle name="Normal 14 4 3 2" xfId="14344" xr:uid="{B34FAE61-FD46-4962-B4D8-AD8F0015D254}"/>
    <cellStyle name="Normal 14 4 3 3" xfId="22772" xr:uid="{6ABD58F1-80E7-4137-B9BF-D81840F3E222}"/>
    <cellStyle name="Normal 14 4 4" xfId="10126" xr:uid="{0E80E966-A210-4F7D-B450-5994BC133A6F}"/>
    <cellStyle name="Normal 14 4 5" xfId="18555" xr:uid="{AE354A53-B66C-4842-A8FF-C7011FC718C7}"/>
    <cellStyle name="Normal 14 5" xfId="2020" xr:uid="{00000000-0005-0000-0000-0000790E0000}"/>
    <cellStyle name="Normal 14 5 2" xfId="4249" xr:uid="{00000000-0005-0000-0000-00007A0E0000}"/>
    <cellStyle name="Normal 14 5 2 2" xfId="8473" xr:uid="{00000000-0005-0000-0000-00007B0E0000}"/>
    <cellStyle name="Normal 14 5 2 2 2" xfId="16902" xr:uid="{C6C9EDE9-170E-4855-83E3-9797807C41BA}"/>
    <cellStyle name="Normal 14 5 2 2 3" xfId="25330" xr:uid="{3CDAE40C-D3F9-453D-BA8F-D946F957233C}"/>
    <cellStyle name="Normal 14 5 2 3" xfId="12684" xr:uid="{E03648AC-EDAE-41A0-92B9-290A38B5FFD4}"/>
    <cellStyle name="Normal 14 5 2 4" xfId="21113" xr:uid="{6EF38496-2366-47D0-80E4-1A4EFD366BF8}"/>
    <cellStyle name="Normal 14 5 3" xfId="6328" xr:uid="{00000000-0005-0000-0000-00007C0E0000}"/>
    <cellStyle name="Normal 14 5 3 2" xfId="14757" xr:uid="{12550091-3A5C-452E-B7E6-76F217107F43}"/>
    <cellStyle name="Normal 14 5 3 3" xfId="23185" xr:uid="{DB0E74F5-906D-47A3-A3C0-DC319263EE40}"/>
    <cellStyle name="Normal 14 5 4" xfId="10539" xr:uid="{79F828E7-8702-4639-A251-516D2A45C489}"/>
    <cellStyle name="Normal 14 5 5" xfId="18968" xr:uid="{F6CE632D-C1A8-4A42-845B-60DC28FB8887}"/>
    <cellStyle name="Normal 14 6" xfId="2456" xr:uid="{00000000-0005-0000-0000-00007D0E0000}"/>
    <cellStyle name="Normal 14 6 2" xfId="6741" xr:uid="{00000000-0005-0000-0000-00007E0E0000}"/>
    <cellStyle name="Normal 14 6 2 2" xfId="15170" xr:uid="{9501606B-CA0B-4275-993E-150853F3792B}"/>
    <cellStyle name="Normal 14 6 2 3" xfId="23598" xr:uid="{BC210893-7869-44E4-B32E-AEF71020E700}"/>
    <cellStyle name="Normal 14 6 3" xfId="10952" xr:uid="{DDC0F0CF-1D96-4DC8-BE46-B2CAA4CE7441}"/>
    <cellStyle name="Normal 14 6 4" xfId="19381" xr:uid="{2FD401D7-DF7C-4C59-9279-4810D6F85E56}"/>
    <cellStyle name="Normal 14 7" xfId="4675" xr:uid="{00000000-0005-0000-0000-00007F0E0000}"/>
    <cellStyle name="Normal 14 7 2" xfId="13104" xr:uid="{DC191F7A-342C-4379-B171-78F09F587E4E}"/>
    <cellStyle name="Normal 14 7 3" xfId="21532" xr:uid="{49C95883-2379-441C-B81C-E8C4A1C5A669}"/>
    <cellStyle name="Normal 14 8" xfId="8886" xr:uid="{751A697A-1824-438A-B4B8-9D8C8B5EC104}"/>
    <cellStyle name="Normal 14 9" xfId="17315" xr:uid="{8D2DD545-EFA0-48E2-992D-58EF10F6B96C}"/>
    <cellStyle name="Normal 15" xfId="4497" xr:uid="{00000000-0005-0000-0000-0000800E0000}"/>
    <cellStyle name="Normal 15 2" xfId="12930" xr:uid="{0F8BA713-71D7-4419-9BE8-D702FA4E406B}"/>
    <cellStyle name="Normal 15 3" xfId="21358" xr:uid="{012B77A4-7191-402E-9D47-7C314D5602D3}"/>
    <cellStyle name="Normal 16" xfId="4501" xr:uid="{00000000-0005-0000-0000-0000810E0000}"/>
    <cellStyle name="Normal 16 2" xfId="12933" xr:uid="{F8B26343-F164-4743-8374-9CDF705C98A9}"/>
    <cellStyle name="Normal 16 3" xfId="21361" xr:uid="{2C94FB8A-7A87-48AF-8DEC-79C5988B0DE7}"/>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903" xr:uid="{3231B8A1-7787-4CD2-9942-67F4F1AF3E02}"/>
    <cellStyle name="Normal 2 4 2 10 2 2 3" xfId="25331" xr:uid="{ADCC3739-F565-4906-8A2C-83703E5003FE}"/>
    <cellStyle name="Normal 2 4 2 10 2 3" xfId="12685" xr:uid="{6B935FA0-D587-4410-9ACA-C4056ACB23A5}"/>
    <cellStyle name="Normal 2 4 2 10 2 4" xfId="21114" xr:uid="{A69F8B33-DA62-4D31-BAA1-36DDF9268766}"/>
    <cellStyle name="Normal 2 4 2 10 3" xfId="6329" xr:uid="{00000000-0005-0000-0000-0000900E0000}"/>
    <cellStyle name="Normal 2 4 2 10 3 2" xfId="14758" xr:uid="{6A7C71F9-0CC3-4C42-B78A-CD1F4F6036D2}"/>
    <cellStyle name="Normal 2 4 2 10 3 3" xfId="23186" xr:uid="{D8B8D7E5-C536-44B6-A998-20C6B1E15936}"/>
    <cellStyle name="Normal 2 4 2 10 4" xfId="10540" xr:uid="{F76BF37D-C3DB-4506-ABFB-5D319F8F777E}"/>
    <cellStyle name="Normal 2 4 2 10 5" xfId="18969" xr:uid="{4D528B35-D506-4C25-90ED-5C583ADAA88F}"/>
    <cellStyle name="Normal 2 4 2 11" xfId="2457" xr:uid="{00000000-0005-0000-0000-0000910E0000}"/>
    <cellStyle name="Normal 2 4 2 11 2" xfId="6742" xr:uid="{00000000-0005-0000-0000-0000920E0000}"/>
    <cellStyle name="Normal 2 4 2 11 2 2" xfId="15171" xr:uid="{37F8DF83-5E16-4CA3-8D0E-1996113FEA52}"/>
    <cellStyle name="Normal 2 4 2 11 2 3" xfId="23599" xr:uid="{0BE02F98-8845-48BE-8655-E4E0C6B09378}"/>
    <cellStyle name="Normal 2 4 2 11 3" xfId="10953" xr:uid="{F34C4DA2-61F4-41DF-A449-8B756646D285}"/>
    <cellStyle name="Normal 2 4 2 11 4" xfId="19382" xr:uid="{CD49FBDE-D0E1-42CE-BFFA-9B5351092C98}"/>
    <cellStyle name="Normal 2 4 2 12" xfId="4676" xr:uid="{00000000-0005-0000-0000-0000930E0000}"/>
    <cellStyle name="Normal 2 4 2 12 2" xfId="13105" xr:uid="{120EB146-EDD9-49C5-A8FB-39038E3984BD}"/>
    <cellStyle name="Normal 2 4 2 12 3" xfId="21533" xr:uid="{AF80315E-D341-4D71-BC51-002F319617D5}"/>
    <cellStyle name="Normal 2 4 2 13" xfId="8887" xr:uid="{119D1690-F0A3-49A8-8C90-786B828CD065}"/>
    <cellStyle name="Normal 2 4 2 14" xfId="17316" xr:uid="{AAFC8F7D-767D-4763-82B0-B85AC99B8101}"/>
    <cellStyle name="Normal 2 4 2 2" xfId="280" xr:uid="{00000000-0005-0000-0000-0000940E0000}"/>
    <cellStyle name="Normal 2 4 2 3" xfId="281" xr:uid="{00000000-0005-0000-0000-0000950E0000}"/>
    <cellStyle name="Normal 2 4 2 3 10" xfId="4677" xr:uid="{00000000-0005-0000-0000-0000960E0000}"/>
    <cellStyle name="Normal 2 4 2 3 10 2" xfId="13106" xr:uid="{712DE3EA-D4ED-4107-9679-CD4836E58C99}"/>
    <cellStyle name="Normal 2 4 2 3 10 3" xfId="21534" xr:uid="{C450F58F-6CAA-4849-800D-0554CF93B1CE}"/>
    <cellStyle name="Normal 2 4 2 3 11" xfId="8888" xr:uid="{84B9DA15-D14A-44AF-AE3F-B656D6AC51E8}"/>
    <cellStyle name="Normal 2 4 2 3 12" xfId="17317" xr:uid="{065AD35A-940A-4530-80B8-BBC65D5922E4}"/>
    <cellStyle name="Normal 2 4 2 3 2" xfId="282" xr:uid="{00000000-0005-0000-0000-0000970E0000}"/>
    <cellStyle name="Normal 2 4 2 3 2 10" xfId="8889" xr:uid="{5170C9E4-4795-47D0-B911-DA07FEE9D6C5}"/>
    <cellStyle name="Normal 2 4 2 3 2 11" xfId="17318" xr:uid="{D018C03C-63D1-42A9-922C-01506ADE245E}"/>
    <cellStyle name="Normal 2 4 2 3 2 2" xfId="283" xr:uid="{00000000-0005-0000-0000-0000980E0000}"/>
    <cellStyle name="Normal 2 4 2 3 2 2 10" xfId="17319" xr:uid="{7FD09DBE-BA85-4BA9-8A98-1FC3CF39E329}"/>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8" xr:uid="{58DE9FA0-4272-4B00-8571-EEDBA97E507B}"/>
    <cellStyle name="Normal 2 4 2 3 2 2 2 2 2 2 3" xfId="24096" xr:uid="{3241B687-0618-4270-B7EB-959D87FFDC1D}"/>
    <cellStyle name="Normal 2 4 2 3 2 2 2 2 2 3" xfId="11450" xr:uid="{4F0C8EEC-10EF-4ABE-9FE9-832FC383E368}"/>
    <cellStyle name="Normal 2 4 2 3 2 2 2 2 2 4" xfId="19879" xr:uid="{71E02B2B-C7E4-47DF-974C-7672DCDF2E63}"/>
    <cellStyle name="Normal 2 4 2 3 2 2 2 2 3" xfId="5094" xr:uid="{00000000-0005-0000-0000-00009D0E0000}"/>
    <cellStyle name="Normal 2 4 2 3 2 2 2 2 3 2" xfId="13523" xr:uid="{1DC296B2-8411-451D-AE2E-0A60A4420B2E}"/>
    <cellStyle name="Normal 2 4 2 3 2 2 2 2 3 3" xfId="21951" xr:uid="{43A8AFFE-45A3-4BC3-816A-375BAB9EFF28}"/>
    <cellStyle name="Normal 2 4 2 3 2 2 2 2 4" xfId="9305" xr:uid="{3E271D3E-E360-4C15-B405-7DD2EFCB9600}"/>
    <cellStyle name="Normal 2 4 2 3 2 2 2 2 5" xfId="17734" xr:uid="{D743C8A5-87F3-4A9C-9919-DF7B491131A7}"/>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81" xr:uid="{E04D84EF-B1E2-4AAB-AC17-C4BF78BF6E58}"/>
    <cellStyle name="Normal 2 4 2 3 2 2 2 3 2 2 3" xfId="24509" xr:uid="{5C789FF9-8014-490B-8F4E-A9419DC139C3}"/>
    <cellStyle name="Normal 2 4 2 3 2 2 2 3 2 3" xfId="11863" xr:uid="{124096FF-D3E3-418B-92FF-D3B416B77692}"/>
    <cellStyle name="Normal 2 4 2 3 2 2 2 3 2 4" xfId="20292" xr:uid="{237D4359-F5C7-489C-8602-BF03242C436F}"/>
    <cellStyle name="Normal 2 4 2 3 2 2 2 3 3" xfId="5507" xr:uid="{00000000-0005-0000-0000-0000A10E0000}"/>
    <cellStyle name="Normal 2 4 2 3 2 2 2 3 3 2" xfId="13936" xr:uid="{E818CCF5-5FE0-4C87-B05F-9A970AAB4194}"/>
    <cellStyle name="Normal 2 4 2 3 2 2 2 3 3 3" xfId="22364" xr:uid="{106A04B9-E917-45C6-99A2-D88E4E1E7F8A}"/>
    <cellStyle name="Normal 2 4 2 3 2 2 2 3 4" xfId="9718" xr:uid="{FE65545C-8A96-4790-AC08-3A66F0048383}"/>
    <cellStyle name="Normal 2 4 2 3 2 2 2 3 5" xfId="18147" xr:uid="{C8C6DCB4-DD3C-43B7-AAE6-876B90DBFD33}"/>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94" xr:uid="{1D65C9E8-DE99-45C1-91AB-D9947CE12C6C}"/>
    <cellStyle name="Normal 2 4 2 3 2 2 2 4 2 2 3" xfId="24922" xr:uid="{EB1ACEE8-AB4A-4179-9C52-26EBFB87CFB7}"/>
    <cellStyle name="Normal 2 4 2 3 2 2 2 4 2 3" xfId="12276" xr:uid="{FD3C5A31-A27C-4730-A83D-79F598043A80}"/>
    <cellStyle name="Normal 2 4 2 3 2 2 2 4 2 4" xfId="20705" xr:uid="{BEAC35F9-5944-4FE8-A9F2-5D8D5E73337B}"/>
    <cellStyle name="Normal 2 4 2 3 2 2 2 4 3" xfId="5920" xr:uid="{00000000-0005-0000-0000-0000A50E0000}"/>
    <cellStyle name="Normal 2 4 2 3 2 2 2 4 3 2" xfId="14349" xr:uid="{D2FB834F-EAC7-47C6-BECE-1E54C737807C}"/>
    <cellStyle name="Normal 2 4 2 3 2 2 2 4 3 3" xfId="22777" xr:uid="{BA2ABE63-E306-450F-8266-348FA6E7F7E5}"/>
    <cellStyle name="Normal 2 4 2 3 2 2 2 4 4" xfId="10131" xr:uid="{4C7C8E06-2554-4F18-BD58-1FCE31AE68DD}"/>
    <cellStyle name="Normal 2 4 2 3 2 2 2 4 5" xfId="18560" xr:uid="{D4D88F87-9EF3-4FDC-9DC7-47ECCE47D07F}"/>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7" xr:uid="{6DFBA7A7-CFDD-481F-AC91-C1D352E45F42}"/>
    <cellStyle name="Normal 2 4 2 3 2 2 2 5 2 2 3" xfId="25335" xr:uid="{F7ADE1E0-1A55-4A90-8204-DFA36B12B7CD}"/>
    <cellStyle name="Normal 2 4 2 3 2 2 2 5 2 3" xfId="12689" xr:uid="{57D5B885-6AAD-43D7-8E89-F2919A311437}"/>
    <cellStyle name="Normal 2 4 2 3 2 2 2 5 2 4" xfId="21118" xr:uid="{C4C5EF1E-1062-4559-887F-1DA041432162}"/>
    <cellStyle name="Normal 2 4 2 3 2 2 2 5 3" xfId="6333" xr:uid="{00000000-0005-0000-0000-0000A90E0000}"/>
    <cellStyle name="Normal 2 4 2 3 2 2 2 5 3 2" xfId="14762" xr:uid="{ED0C2449-BFF9-4811-9FD1-85C0E4944F45}"/>
    <cellStyle name="Normal 2 4 2 3 2 2 2 5 3 3" xfId="23190" xr:uid="{9916434A-3BA5-4A40-B399-AE7BB545ED81}"/>
    <cellStyle name="Normal 2 4 2 3 2 2 2 5 4" xfId="10544" xr:uid="{2FD6AA9D-2D22-4335-82F6-4B72D002A023}"/>
    <cellStyle name="Normal 2 4 2 3 2 2 2 5 5" xfId="18973" xr:uid="{FBAC875B-4A8E-45FB-8232-5D3400D0583F}"/>
    <cellStyle name="Normal 2 4 2 3 2 2 2 6" xfId="2461" xr:uid="{00000000-0005-0000-0000-0000AA0E0000}"/>
    <cellStyle name="Normal 2 4 2 3 2 2 2 6 2" xfId="6746" xr:uid="{00000000-0005-0000-0000-0000AB0E0000}"/>
    <cellStyle name="Normal 2 4 2 3 2 2 2 6 2 2" xfId="15175" xr:uid="{0B9B5E4B-3AB9-4854-83CE-41108D8B5467}"/>
    <cellStyle name="Normal 2 4 2 3 2 2 2 6 2 3" xfId="23603" xr:uid="{7AFB3E30-CFD0-47B1-BDC9-59D32F095C11}"/>
    <cellStyle name="Normal 2 4 2 3 2 2 2 6 3" xfId="10957" xr:uid="{B7AFB134-C947-4A1C-BE41-269619548AF0}"/>
    <cellStyle name="Normal 2 4 2 3 2 2 2 6 4" xfId="19386" xr:uid="{AC109D58-C952-4296-9EA9-45A159877A58}"/>
    <cellStyle name="Normal 2 4 2 3 2 2 2 7" xfId="4680" xr:uid="{00000000-0005-0000-0000-0000AC0E0000}"/>
    <cellStyle name="Normal 2 4 2 3 2 2 2 7 2" xfId="13109" xr:uid="{73AC5F52-8AF2-4D05-B600-E2F79200C182}"/>
    <cellStyle name="Normal 2 4 2 3 2 2 2 7 3" xfId="21537" xr:uid="{5E4AC592-C863-4C0A-A6EF-0B655EF9B11B}"/>
    <cellStyle name="Normal 2 4 2 3 2 2 2 8" xfId="8891" xr:uid="{4750953D-51F8-4B45-9A0B-82E4C98F5A95}"/>
    <cellStyle name="Normal 2 4 2 3 2 2 2 9" xfId="17320" xr:uid="{0E9EA3BE-9FE0-4545-8083-CB15ADBF7779}"/>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7" xr:uid="{5898BAD5-8B90-4954-A875-351652D63827}"/>
    <cellStyle name="Normal 2 4 2 3 2 2 3 2 2 3" xfId="24095" xr:uid="{E5DF1872-B5FD-42B8-A784-E1ED68E4C03A}"/>
    <cellStyle name="Normal 2 4 2 3 2 2 3 2 3" xfId="11449" xr:uid="{D86C427E-D125-4916-932A-58B2DA7AABF0}"/>
    <cellStyle name="Normal 2 4 2 3 2 2 3 2 4" xfId="19878" xr:uid="{1A25A11F-B066-429C-B841-90879CDAB05F}"/>
    <cellStyle name="Normal 2 4 2 3 2 2 3 3" xfId="5093" xr:uid="{00000000-0005-0000-0000-0000B00E0000}"/>
    <cellStyle name="Normal 2 4 2 3 2 2 3 3 2" xfId="13522" xr:uid="{30119D95-5720-42F8-9D6D-E10248EEA2E9}"/>
    <cellStyle name="Normal 2 4 2 3 2 2 3 3 3" xfId="21950" xr:uid="{6520B416-69F4-4674-B003-5D54AE36F582}"/>
    <cellStyle name="Normal 2 4 2 3 2 2 3 4" xfId="9304" xr:uid="{FBF88AD2-E6BD-466B-9B26-5BB807EBCD05}"/>
    <cellStyle name="Normal 2 4 2 3 2 2 3 5" xfId="17733" xr:uid="{53AFAF09-7822-4913-81E8-257AF74FB70B}"/>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80" xr:uid="{075E8AC9-C279-409F-9C56-D15C11FED4BF}"/>
    <cellStyle name="Normal 2 4 2 3 2 2 4 2 2 3" xfId="24508" xr:uid="{2579B61F-51AB-4D70-82CB-FA018C3B96A9}"/>
    <cellStyle name="Normal 2 4 2 3 2 2 4 2 3" xfId="11862" xr:uid="{B174C2B0-07C8-4F11-8EAD-68217B5806AC}"/>
    <cellStyle name="Normal 2 4 2 3 2 2 4 2 4" xfId="20291" xr:uid="{F38FFAF9-0A07-40F9-B9AB-C92B44AB0E42}"/>
    <cellStyle name="Normal 2 4 2 3 2 2 4 3" xfId="5506" xr:uid="{00000000-0005-0000-0000-0000B40E0000}"/>
    <cellStyle name="Normal 2 4 2 3 2 2 4 3 2" xfId="13935" xr:uid="{67AB65A1-8E3A-40CD-9238-C1E990539BA5}"/>
    <cellStyle name="Normal 2 4 2 3 2 2 4 3 3" xfId="22363" xr:uid="{90B79720-F3BF-45BD-9281-C02C4C5A8083}"/>
    <cellStyle name="Normal 2 4 2 3 2 2 4 4" xfId="9717" xr:uid="{98806529-0120-4958-A445-2B755D34268F}"/>
    <cellStyle name="Normal 2 4 2 3 2 2 4 5" xfId="18146" xr:uid="{53D83D6B-7CD4-4ACD-AAB2-4B31EEF1EC92}"/>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93" xr:uid="{EF11AC01-BEDA-4D2F-B38B-715AB39E3E0F}"/>
    <cellStyle name="Normal 2 4 2 3 2 2 5 2 2 3" xfId="24921" xr:uid="{C5B063B9-832F-4D3D-8D31-6E9B698F1D40}"/>
    <cellStyle name="Normal 2 4 2 3 2 2 5 2 3" xfId="12275" xr:uid="{D1791DFF-A9BE-4814-A8F2-1F532EE6B2F4}"/>
    <cellStyle name="Normal 2 4 2 3 2 2 5 2 4" xfId="20704" xr:uid="{F8D76946-2B37-4197-A544-2C3A68EED6ED}"/>
    <cellStyle name="Normal 2 4 2 3 2 2 5 3" xfId="5919" xr:uid="{00000000-0005-0000-0000-0000B80E0000}"/>
    <cellStyle name="Normal 2 4 2 3 2 2 5 3 2" xfId="14348" xr:uid="{E606182C-143E-4A55-9AF8-AF8D560B9D93}"/>
    <cellStyle name="Normal 2 4 2 3 2 2 5 3 3" xfId="22776" xr:uid="{F38B6F62-8646-49BC-B5D9-E3E0F1D8FC66}"/>
    <cellStyle name="Normal 2 4 2 3 2 2 5 4" xfId="10130" xr:uid="{74FEF243-FD0D-48D3-A5A5-E9E90BF24F2C}"/>
    <cellStyle name="Normal 2 4 2 3 2 2 5 5" xfId="18559" xr:uid="{2589A09D-254A-4416-B9E1-7127185EB49C}"/>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906" xr:uid="{BA7E0AF7-CC05-4C2B-98EB-00318F6E6748}"/>
    <cellStyle name="Normal 2 4 2 3 2 2 6 2 2 3" xfId="25334" xr:uid="{A3CC0456-E667-410D-AFE0-188FE24C82F7}"/>
    <cellStyle name="Normal 2 4 2 3 2 2 6 2 3" xfId="12688" xr:uid="{053B96FF-7B87-4834-B896-38969CD62C3C}"/>
    <cellStyle name="Normal 2 4 2 3 2 2 6 2 4" xfId="21117" xr:uid="{686ACE48-B03F-4A0B-AC0F-5090E4106E15}"/>
    <cellStyle name="Normal 2 4 2 3 2 2 6 3" xfId="6332" xr:uid="{00000000-0005-0000-0000-0000BC0E0000}"/>
    <cellStyle name="Normal 2 4 2 3 2 2 6 3 2" xfId="14761" xr:uid="{E84E8D30-CFCC-4E4A-B3D7-A065B55B57D9}"/>
    <cellStyle name="Normal 2 4 2 3 2 2 6 3 3" xfId="23189" xr:uid="{B4FC015E-18D4-4D10-AB75-F3471A46A416}"/>
    <cellStyle name="Normal 2 4 2 3 2 2 6 4" xfId="10543" xr:uid="{CBF2FEA8-8441-4832-AFA8-2F3C5AA2705E}"/>
    <cellStyle name="Normal 2 4 2 3 2 2 6 5" xfId="18972" xr:uid="{30A67223-F53B-4EA5-8479-6BC1566DD72C}"/>
    <cellStyle name="Normal 2 4 2 3 2 2 7" xfId="2460" xr:uid="{00000000-0005-0000-0000-0000BD0E0000}"/>
    <cellStyle name="Normal 2 4 2 3 2 2 7 2" xfId="6745" xr:uid="{00000000-0005-0000-0000-0000BE0E0000}"/>
    <cellStyle name="Normal 2 4 2 3 2 2 7 2 2" xfId="15174" xr:uid="{659D51EE-7115-4E9C-B253-F20E01C92223}"/>
    <cellStyle name="Normal 2 4 2 3 2 2 7 2 3" xfId="23602" xr:uid="{DDD95C8F-9BE9-47DF-9B63-321D420032FF}"/>
    <cellStyle name="Normal 2 4 2 3 2 2 7 3" xfId="10956" xr:uid="{5D53A048-29FE-483C-B518-5B632EA58D99}"/>
    <cellStyle name="Normal 2 4 2 3 2 2 7 4" xfId="19385" xr:uid="{B2563FC6-BBB8-48DC-888A-D44A4ACEA106}"/>
    <cellStyle name="Normal 2 4 2 3 2 2 8" xfId="4679" xr:uid="{00000000-0005-0000-0000-0000BF0E0000}"/>
    <cellStyle name="Normal 2 4 2 3 2 2 8 2" xfId="13108" xr:uid="{EB0F0DEA-2087-4944-B36B-645C944DC705}"/>
    <cellStyle name="Normal 2 4 2 3 2 2 8 3" xfId="21536" xr:uid="{8BE45BCF-D46D-491B-B7C7-8FF23D940EB6}"/>
    <cellStyle name="Normal 2 4 2 3 2 2 9" xfId="8890" xr:uid="{D3E5C2AD-BD4D-4CC7-82E9-005952380D3F}"/>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9" xr:uid="{02CF26E8-590E-4699-A21F-D09FE97B9D07}"/>
    <cellStyle name="Normal 2 4 2 3 2 3 2 2 2 3" xfId="24097" xr:uid="{44432E8F-DC8E-4313-9DFA-EC5FBF68A456}"/>
    <cellStyle name="Normal 2 4 2 3 2 3 2 2 3" xfId="11451" xr:uid="{6A573ED9-0AA6-4A4E-8AFE-2D336E94E998}"/>
    <cellStyle name="Normal 2 4 2 3 2 3 2 2 4" xfId="19880" xr:uid="{86A00998-2AD0-4322-915B-B7D43C9E1A30}"/>
    <cellStyle name="Normal 2 4 2 3 2 3 2 3" xfId="5095" xr:uid="{00000000-0005-0000-0000-0000C40E0000}"/>
    <cellStyle name="Normal 2 4 2 3 2 3 2 3 2" xfId="13524" xr:uid="{6221DF29-F4C1-4889-94E6-33492996DD64}"/>
    <cellStyle name="Normal 2 4 2 3 2 3 2 3 3" xfId="21952" xr:uid="{1AC2C9FB-E1D8-4D4D-AC4B-19486C43AE3A}"/>
    <cellStyle name="Normal 2 4 2 3 2 3 2 4" xfId="9306" xr:uid="{6D430029-BF55-42D5-8799-F511F93FC5B6}"/>
    <cellStyle name="Normal 2 4 2 3 2 3 2 5" xfId="17735" xr:uid="{E042B2FA-49B8-459C-877D-F86E324BDE08}"/>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82" xr:uid="{7F59BFDB-5229-4EB6-B99B-1236877C2A5B}"/>
    <cellStyle name="Normal 2 4 2 3 2 3 3 2 2 3" xfId="24510" xr:uid="{9B58DA4E-E9DA-4562-BFD9-ED918E36135B}"/>
    <cellStyle name="Normal 2 4 2 3 2 3 3 2 3" xfId="11864" xr:uid="{51BA5C03-11AE-468D-AFA3-89CCD01ACA52}"/>
    <cellStyle name="Normal 2 4 2 3 2 3 3 2 4" xfId="20293" xr:uid="{61AC1F9C-FD7E-4295-A1CE-3EB9829F7E48}"/>
    <cellStyle name="Normal 2 4 2 3 2 3 3 3" xfId="5508" xr:uid="{00000000-0005-0000-0000-0000C80E0000}"/>
    <cellStyle name="Normal 2 4 2 3 2 3 3 3 2" xfId="13937" xr:uid="{6CC1C048-7DAE-4660-968D-BB394BD3FD6F}"/>
    <cellStyle name="Normal 2 4 2 3 2 3 3 3 3" xfId="22365" xr:uid="{AC77095C-5FAA-423A-846B-E22532F24B23}"/>
    <cellStyle name="Normal 2 4 2 3 2 3 3 4" xfId="9719" xr:uid="{E9B51D83-E7C7-4804-B4A6-2AF12A2D0F7A}"/>
    <cellStyle name="Normal 2 4 2 3 2 3 3 5" xfId="18148" xr:uid="{1DC2C91B-6EF8-41F8-94D9-1CD35C28C334}"/>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95" xr:uid="{A5B7D296-4739-4160-8387-C49AC348007C}"/>
    <cellStyle name="Normal 2 4 2 3 2 3 4 2 2 3" xfId="24923" xr:uid="{3070A8E0-BB09-4F28-86EC-29B20B14CE20}"/>
    <cellStyle name="Normal 2 4 2 3 2 3 4 2 3" xfId="12277" xr:uid="{BB81E300-9529-42A9-8F49-19D5EC0A7997}"/>
    <cellStyle name="Normal 2 4 2 3 2 3 4 2 4" xfId="20706" xr:uid="{D5D35C06-B157-4C4D-842B-1A967033A3A8}"/>
    <cellStyle name="Normal 2 4 2 3 2 3 4 3" xfId="5921" xr:uid="{00000000-0005-0000-0000-0000CC0E0000}"/>
    <cellStyle name="Normal 2 4 2 3 2 3 4 3 2" xfId="14350" xr:uid="{68217ABC-99B6-485F-9282-DB2EF98D5FFC}"/>
    <cellStyle name="Normal 2 4 2 3 2 3 4 3 3" xfId="22778" xr:uid="{D26F82A4-8C96-42E7-B817-9ECC4FDD72C8}"/>
    <cellStyle name="Normal 2 4 2 3 2 3 4 4" xfId="10132" xr:uid="{EE728361-6865-4C6F-9B12-D0DC4296A427}"/>
    <cellStyle name="Normal 2 4 2 3 2 3 4 5" xfId="18561" xr:uid="{17EFE53F-1A37-410C-8874-D2C2EB556BDC}"/>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8" xr:uid="{875313F8-0F1F-4168-8D30-2C88D0919D01}"/>
    <cellStyle name="Normal 2 4 2 3 2 3 5 2 2 3" xfId="25336" xr:uid="{654F52D8-629E-48FD-9B02-8CB433484F57}"/>
    <cellStyle name="Normal 2 4 2 3 2 3 5 2 3" xfId="12690" xr:uid="{BF2F6EE9-0D12-457B-BACE-8FF002DB065F}"/>
    <cellStyle name="Normal 2 4 2 3 2 3 5 2 4" xfId="21119" xr:uid="{135E038A-2E7C-40E7-915C-1B73E27C14AF}"/>
    <cellStyle name="Normal 2 4 2 3 2 3 5 3" xfId="6334" xr:uid="{00000000-0005-0000-0000-0000D00E0000}"/>
    <cellStyle name="Normal 2 4 2 3 2 3 5 3 2" xfId="14763" xr:uid="{69901074-F4B3-46EF-A175-46E7F89A249A}"/>
    <cellStyle name="Normal 2 4 2 3 2 3 5 3 3" xfId="23191" xr:uid="{A30D5D47-E7A7-423D-A039-7AA401C0735B}"/>
    <cellStyle name="Normal 2 4 2 3 2 3 5 4" xfId="10545" xr:uid="{BB551A57-9E6D-4251-A35C-85CB31FE5830}"/>
    <cellStyle name="Normal 2 4 2 3 2 3 5 5" xfId="18974" xr:uid="{67F6A524-B236-49EB-B117-A1D88E0741A8}"/>
    <cellStyle name="Normal 2 4 2 3 2 3 6" xfId="2462" xr:uid="{00000000-0005-0000-0000-0000D10E0000}"/>
    <cellStyle name="Normal 2 4 2 3 2 3 6 2" xfId="6747" xr:uid="{00000000-0005-0000-0000-0000D20E0000}"/>
    <cellStyle name="Normal 2 4 2 3 2 3 6 2 2" xfId="15176" xr:uid="{3AEE3785-C903-40F4-9089-ED59E7A6BF0B}"/>
    <cellStyle name="Normal 2 4 2 3 2 3 6 2 3" xfId="23604" xr:uid="{128D9259-52B5-41DC-96EA-2984309F12BD}"/>
    <cellStyle name="Normal 2 4 2 3 2 3 6 3" xfId="10958" xr:uid="{58F92A50-DE9D-4D0A-8C71-E0A1F09DCB29}"/>
    <cellStyle name="Normal 2 4 2 3 2 3 6 4" xfId="19387" xr:uid="{9C3E8467-72BB-4C7B-938E-27091E96D9A8}"/>
    <cellStyle name="Normal 2 4 2 3 2 3 7" xfId="4681" xr:uid="{00000000-0005-0000-0000-0000D30E0000}"/>
    <cellStyle name="Normal 2 4 2 3 2 3 7 2" xfId="13110" xr:uid="{883F7E93-53E4-4232-A351-AEEFF60C111E}"/>
    <cellStyle name="Normal 2 4 2 3 2 3 7 3" xfId="21538" xr:uid="{C8322DCB-6A03-4F50-BBDA-1E5F3F95C092}"/>
    <cellStyle name="Normal 2 4 2 3 2 3 8" xfId="8892" xr:uid="{2CBA0570-01AD-4887-AE51-23B2A52BBECE}"/>
    <cellStyle name="Normal 2 4 2 3 2 3 9" xfId="17321" xr:uid="{27919653-6B9D-4CFD-A449-3860CED013B6}"/>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66" xr:uid="{AC760471-5A70-4CF7-BBA7-08E52B4F63D0}"/>
    <cellStyle name="Normal 2 4 2 3 2 4 2 2 3" xfId="24094" xr:uid="{9766C647-CB39-4E3C-8E6F-AA048964D5CF}"/>
    <cellStyle name="Normal 2 4 2 3 2 4 2 3" xfId="11448" xr:uid="{E38ECED4-9EA8-4527-9D54-B7655307DBB9}"/>
    <cellStyle name="Normal 2 4 2 3 2 4 2 4" xfId="19877" xr:uid="{E4D4ADAA-D7E6-4D33-9E47-D269EAFB8F5B}"/>
    <cellStyle name="Normal 2 4 2 3 2 4 3" xfId="5092" xr:uid="{00000000-0005-0000-0000-0000D70E0000}"/>
    <cellStyle name="Normal 2 4 2 3 2 4 3 2" xfId="13521" xr:uid="{9198029A-DF23-4716-9A72-427CA43584BB}"/>
    <cellStyle name="Normal 2 4 2 3 2 4 3 3" xfId="21949" xr:uid="{58AB2EF9-BA30-4034-9BAB-B46B9066B744}"/>
    <cellStyle name="Normal 2 4 2 3 2 4 4" xfId="9303" xr:uid="{14FABF8B-C415-4FAF-A2F0-3F48A998AF61}"/>
    <cellStyle name="Normal 2 4 2 3 2 4 5" xfId="17732" xr:uid="{4F609BCA-A679-438E-A4A3-8940B8A60308}"/>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9" xr:uid="{C836CD1F-B498-4F0E-8770-F3F17DCE3421}"/>
    <cellStyle name="Normal 2 4 2 3 2 5 2 2 3" xfId="24507" xr:uid="{818961DA-A8E9-4053-A450-468C533AA815}"/>
    <cellStyle name="Normal 2 4 2 3 2 5 2 3" xfId="11861" xr:uid="{A7A92B8B-7E58-4103-91E6-04D85FA551AB}"/>
    <cellStyle name="Normal 2 4 2 3 2 5 2 4" xfId="20290" xr:uid="{3A386294-C54A-4326-81FB-879063E4044E}"/>
    <cellStyle name="Normal 2 4 2 3 2 5 3" xfId="5505" xr:uid="{00000000-0005-0000-0000-0000DB0E0000}"/>
    <cellStyle name="Normal 2 4 2 3 2 5 3 2" xfId="13934" xr:uid="{087DF540-FB3E-4E5B-B1E5-BB8FB2A667F1}"/>
    <cellStyle name="Normal 2 4 2 3 2 5 3 3" xfId="22362" xr:uid="{4B8FF325-8F40-45B3-B5E2-B9FBBA508921}"/>
    <cellStyle name="Normal 2 4 2 3 2 5 4" xfId="9716" xr:uid="{F45E0152-CE73-4202-A6FF-F982A9DD8302}"/>
    <cellStyle name="Normal 2 4 2 3 2 5 5" xfId="18145" xr:uid="{F82816CE-D870-4298-B60E-1C6C7FD92A13}"/>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92" xr:uid="{5F84EFED-EC9C-45F3-A4EC-FAFA13926850}"/>
    <cellStyle name="Normal 2 4 2 3 2 6 2 2 3" xfId="24920" xr:uid="{BAF97E8F-7DCD-4973-BF60-6200064E7372}"/>
    <cellStyle name="Normal 2 4 2 3 2 6 2 3" xfId="12274" xr:uid="{E9935072-F281-45AB-A3FB-6FAEE9FA795E}"/>
    <cellStyle name="Normal 2 4 2 3 2 6 2 4" xfId="20703" xr:uid="{A58133BA-5461-4D6E-A055-3561E3340B6B}"/>
    <cellStyle name="Normal 2 4 2 3 2 6 3" xfId="5918" xr:uid="{00000000-0005-0000-0000-0000DF0E0000}"/>
    <cellStyle name="Normal 2 4 2 3 2 6 3 2" xfId="14347" xr:uid="{6DB74C3D-627C-4141-978B-29C4AB257E08}"/>
    <cellStyle name="Normal 2 4 2 3 2 6 3 3" xfId="22775" xr:uid="{DB474086-A9CE-440B-AC47-8C66DC8DC8DD}"/>
    <cellStyle name="Normal 2 4 2 3 2 6 4" xfId="10129" xr:uid="{F7037B26-C0ED-4C88-BB29-16ED140470C8}"/>
    <cellStyle name="Normal 2 4 2 3 2 6 5" xfId="18558" xr:uid="{1510EF22-046D-4D54-BA49-E2C564364239}"/>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905" xr:uid="{426F65C2-3676-4774-8557-C37533DFE4F5}"/>
    <cellStyle name="Normal 2 4 2 3 2 7 2 2 3" xfId="25333" xr:uid="{891132A2-4B8E-4700-ABD5-B8283BEEED6A}"/>
    <cellStyle name="Normal 2 4 2 3 2 7 2 3" xfId="12687" xr:uid="{A782E205-A3EE-4D3D-88F5-FBBE44E15100}"/>
    <cellStyle name="Normal 2 4 2 3 2 7 2 4" xfId="21116" xr:uid="{3034D9CC-5D49-4C74-946B-08CCE22AEC4E}"/>
    <cellStyle name="Normal 2 4 2 3 2 7 3" xfId="6331" xr:uid="{00000000-0005-0000-0000-0000E30E0000}"/>
    <cellStyle name="Normal 2 4 2 3 2 7 3 2" xfId="14760" xr:uid="{1226599D-E98F-4EC2-97ED-A57866D43227}"/>
    <cellStyle name="Normal 2 4 2 3 2 7 3 3" xfId="23188" xr:uid="{B07F6D33-CF08-4E40-B6DA-5BEA86EE4BEE}"/>
    <cellStyle name="Normal 2 4 2 3 2 7 4" xfId="10542" xr:uid="{13078DC8-00DB-4D70-8A5E-6BEF77B0B349}"/>
    <cellStyle name="Normal 2 4 2 3 2 7 5" xfId="18971" xr:uid="{7BB6A014-EEB4-423A-9AF4-2D57F10EF5BA}"/>
    <cellStyle name="Normal 2 4 2 3 2 8" xfId="2459" xr:uid="{00000000-0005-0000-0000-0000E40E0000}"/>
    <cellStyle name="Normal 2 4 2 3 2 8 2" xfId="6744" xr:uid="{00000000-0005-0000-0000-0000E50E0000}"/>
    <cellStyle name="Normal 2 4 2 3 2 8 2 2" xfId="15173" xr:uid="{05416753-EB5A-4137-B04D-8D088845524C}"/>
    <cellStyle name="Normal 2 4 2 3 2 8 2 3" xfId="23601" xr:uid="{83EA85A9-39DB-4785-A5C4-37A58FC0EA09}"/>
    <cellStyle name="Normal 2 4 2 3 2 8 3" xfId="10955" xr:uid="{5EEF8829-A903-4E7D-AD57-04F52608BD45}"/>
    <cellStyle name="Normal 2 4 2 3 2 8 4" xfId="19384" xr:uid="{EA71AB19-3A27-4FE0-BB55-1164D4FC7E05}"/>
    <cellStyle name="Normal 2 4 2 3 2 9" xfId="4678" xr:uid="{00000000-0005-0000-0000-0000E60E0000}"/>
    <cellStyle name="Normal 2 4 2 3 2 9 2" xfId="13107" xr:uid="{B9DCA5D0-4E60-4240-9343-B16B51AEFC4F}"/>
    <cellStyle name="Normal 2 4 2 3 2 9 3" xfId="21535" xr:uid="{5872B02D-9C6A-4264-8CF3-A3451C87D731}"/>
    <cellStyle name="Normal 2 4 2 3 3" xfId="286" xr:uid="{00000000-0005-0000-0000-0000E70E0000}"/>
    <cellStyle name="Normal 2 4 2 3 3 10" xfId="17322" xr:uid="{3E4A9AA0-9402-403B-BEB7-E1A4461F4446}"/>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71" xr:uid="{EB10124D-8A80-4925-8A4E-0D5FD77D7E4C}"/>
    <cellStyle name="Normal 2 4 2 3 3 2 2 2 2 3" xfId="24099" xr:uid="{5CCAE0F1-1EA1-4D3C-833A-32DA166BE1CF}"/>
    <cellStyle name="Normal 2 4 2 3 3 2 2 2 3" xfId="11453" xr:uid="{E0681C17-1027-4E86-BE01-7F1C6D2571BE}"/>
    <cellStyle name="Normal 2 4 2 3 3 2 2 2 4" xfId="19882" xr:uid="{E8779D11-79B5-4494-9933-61DC49AE4B2A}"/>
    <cellStyle name="Normal 2 4 2 3 3 2 2 3" xfId="5097" xr:uid="{00000000-0005-0000-0000-0000EC0E0000}"/>
    <cellStyle name="Normal 2 4 2 3 3 2 2 3 2" xfId="13526" xr:uid="{5087D824-C3A4-4DE3-B618-56EB7184D27A}"/>
    <cellStyle name="Normal 2 4 2 3 3 2 2 3 3" xfId="21954" xr:uid="{07ECF075-FCBA-416D-B7DA-75253598F52A}"/>
    <cellStyle name="Normal 2 4 2 3 3 2 2 4" xfId="9308" xr:uid="{FBF8582A-9360-4AE1-B9FC-6A62273D7BBF}"/>
    <cellStyle name="Normal 2 4 2 3 3 2 2 5" xfId="17737" xr:uid="{34C36B88-C456-4C31-8400-086714A0A331}"/>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84" xr:uid="{85F71F50-D636-4428-B957-5484D5D4F55B}"/>
    <cellStyle name="Normal 2 4 2 3 3 2 3 2 2 3" xfId="24512" xr:uid="{31C81068-81C9-4C73-9CE5-9B8A056A4EFA}"/>
    <cellStyle name="Normal 2 4 2 3 3 2 3 2 3" xfId="11866" xr:uid="{E4BB98C2-A364-40A3-9ED3-C17852333EF6}"/>
    <cellStyle name="Normal 2 4 2 3 3 2 3 2 4" xfId="20295" xr:uid="{C2484956-FF34-4277-8515-DF60B9A7EC55}"/>
    <cellStyle name="Normal 2 4 2 3 3 2 3 3" xfId="5510" xr:uid="{00000000-0005-0000-0000-0000F00E0000}"/>
    <cellStyle name="Normal 2 4 2 3 3 2 3 3 2" xfId="13939" xr:uid="{C2E059FE-128A-41C9-A675-3A95A56B8CCA}"/>
    <cellStyle name="Normal 2 4 2 3 3 2 3 3 3" xfId="22367" xr:uid="{88F18E79-DD84-4A39-86CA-B4FFFA92650B}"/>
    <cellStyle name="Normal 2 4 2 3 3 2 3 4" xfId="9721" xr:uid="{CD76DDAF-5E6F-44F9-A842-E3F28EA5D15C}"/>
    <cellStyle name="Normal 2 4 2 3 3 2 3 5" xfId="18150" xr:uid="{0CDFF9D2-8DFE-463B-85DF-60BAF122CB4C}"/>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7" xr:uid="{BB1A2F08-0006-447C-BBE0-EC291AD38852}"/>
    <cellStyle name="Normal 2 4 2 3 3 2 4 2 2 3" xfId="24925" xr:uid="{1D705DD2-5B81-4812-A787-E83C81FFAC2B}"/>
    <cellStyle name="Normal 2 4 2 3 3 2 4 2 3" xfId="12279" xr:uid="{7A081103-D9E1-409C-909E-F9CC2A583E26}"/>
    <cellStyle name="Normal 2 4 2 3 3 2 4 2 4" xfId="20708" xr:uid="{670ED8FE-785B-4029-AD66-36064A7A06E5}"/>
    <cellStyle name="Normal 2 4 2 3 3 2 4 3" xfId="5923" xr:uid="{00000000-0005-0000-0000-0000F40E0000}"/>
    <cellStyle name="Normal 2 4 2 3 3 2 4 3 2" xfId="14352" xr:uid="{2B6D7B66-2EDC-415C-8027-51E1FE621526}"/>
    <cellStyle name="Normal 2 4 2 3 3 2 4 3 3" xfId="22780" xr:uid="{EDDFBC11-AA31-4E32-887C-BF8FE178DC92}"/>
    <cellStyle name="Normal 2 4 2 3 3 2 4 4" xfId="10134" xr:uid="{CB446215-A42F-44BE-849F-225D75BB2F0F}"/>
    <cellStyle name="Normal 2 4 2 3 3 2 4 5" xfId="18563" xr:uid="{9A16D9FB-0B05-4B5C-B84E-9CC3D7868B83}"/>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10" xr:uid="{D2F86D3D-6FC9-48CC-B570-A13DED99AC22}"/>
    <cellStyle name="Normal 2 4 2 3 3 2 5 2 2 3" xfId="25338" xr:uid="{0F07A5E8-6FA6-458A-94DC-4E5ADA26B5FF}"/>
    <cellStyle name="Normal 2 4 2 3 3 2 5 2 3" xfId="12692" xr:uid="{3D4CDA36-4642-4C1F-8520-22D45D4E21BA}"/>
    <cellStyle name="Normal 2 4 2 3 3 2 5 2 4" xfId="21121" xr:uid="{30B0A4F1-5B96-4FBD-A46B-542A2F4E08F8}"/>
    <cellStyle name="Normal 2 4 2 3 3 2 5 3" xfId="6336" xr:uid="{00000000-0005-0000-0000-0000F80E0000}"/>
    <cellStyle name="Normal 2 4 2 3 3 2 5 3 2" xfId="14765" xr:uid="{6966FF6D-D80E-4D41-A916-21E6E7BF4530}"/>
    <cellStyle name="Normal 2 4 2 3 3 2 5 3 3" xfId="23193" xr:uid="{2C34BFE0-3AD6-4827-BE8C-18C7739AC495}"/>
    <cellStyle name="Normal 2 4 2 3 3 2 5 4" xfId="10547" xr:uid="{415CC3F8-C117-45E8-97FE-2E6C1960B20B}"/>
    <cellStyle name="Normal 2 4 2 3 3 2 5 5" xfId="18976" xr:uid="{BAC8E534-6EF2-4B69-A9AF-9111023B108E}"/>
    <cellStyle name="Normal 2 4 2 3 3 2 6" xfId="2464" xr:uid="{00000000-0005-0000-0000-0000F90E0000}"/>
    <cellStyle name="Normal 2 4 2 3 3 2 6 2" xfId="6749" xr:uid="{00000000-0005-0000-0000-0000FA0E0000}"/>
    <cellStyle name="Normal 2 4 2 3 3 2 6 2 2" xfId="15178" xr:uid="{4D4FE77B-2570-4741-8470-C47EB9213CCE}"/>
    <cellStyle name="Normal 2 4 2 3 3 2 6 2 3" xfId="23606" xr:uid="{57AA9A5B-8E22-439F-AE7C-C55F9C41AE60}"/>
    <cellStyle name="Normal 2 4 2 3 3 2 6 3" xfId="10960" xr:uid="{DBCD9011-BD13-42BE-8FFC-CCA06FC262E4}"/>
    <cellStyle name="Normal 2 4 2 3 3 2 6 4" xfId="19389" xr:uid="{16CD101D-4E03-43DD-9103-E71EE271278F}"/>
    <cellStyle name="Normal 2 4 2 3 3 2 7" xfId="4683" xr:uid="{00000000-0005-0000-0000-0000FB0E0000}"/>
    <cellStyle name="Normal 2 4 2 3 3 2 7 2" xfId="13112" xr:uid="{BA396769-7699-47C8-9F69-64EB353E34BE}"/>
    <cellStyle name="Normal 2 4 2 3 3 2 7 3" xfId="21540" xr:uid="{A42D0BF4-F988-4A2A-87AA-A5EB4499A4B4}"/>
    <cellStyle name="Normal 2 4 2 3 3 2 8" xfId="8894" xr:uid="{476A9D32-418F-482B-980C-B3DD6E3B8D6E}"/>
    <cellStyle name="Normal 2 4 2 3 3 2 9" xfId="17323" xr:uid="{E538494B-1BB0-4B9F-BC1A-C13FA68DA6F9}"/>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70" xr:uid="{253D7F22-A8D9-40A1-8900-FD20B8BDD7F9}"/>
    <cellStyle name="Normal 2 4 2 3 3 3 2 2 3" xfId="24098" xr:uid="{A047DFAD-5436-4702-B9F2-B1AC1DD176FB}"/>
    <cellStyle name="Normal 2 4 2 3 3 3 2 3" xfId="11452" xr:uid="{91F2ED81-5911-4181-8FB7-D9A65D730FF5}"/>
    <cellStyle name="Normal 2 4 2 3 3 3 2 4" xfId="19881" xr:uid="{153F7E8D-28B4-4A33-90BE-BB654D80443F}"/>
    <cellStyle name="Normal 2 4 2 3 3 3 3" xfId="5096" xr:uid="{00000000-0005-0000-0000-0000FF0E0000}"/>
    <cellStyle name="Normal 2 4 2 3 3 3 3 2" xfId="13525" xr:uid="{0BD1DD7A-F25B-4FF2-94D0-4753F137F66E}"/>
    <cellStyle name="Normal 2 4 2 3 3 3 3 3" xfId="21953" xr:uid="{DC766806-065D-4F2E-9032-1D7052042897}"/>
    <cellStyle name="Normal 2 4 2 3 3 3 4" xfId="9307" xr:uid="{410941DB-B28D-4A83-8633-BF35D716102D}"/>
    <cellStyle name="Normal 2 4 2 3 3 3 5" xfId="17736" xr:uid="{DF6FC344-E52A-4848-B152-FE9242C9BBF1}"/>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83" xr:uid="{FD629202-E9A7-4169-92C6-2DBC7EAAA887}"/>
    <cellStyle name="Normal 2 4 2 3 3 4 2 2 3" xfId="24511" xr:uid="{EC37D794-6BB6-42D7-8D71-9ED7DD001FBD}"/>
    <cellStyle name="Normal 2 4 2 3 3 4 2 3" xfId="11865" xr:uid="{88F35298-9E31-44A5-BBCC-8B6AF403BD49}"/>
    <cellStyle name="Normal 2 4 2 3 3 4 2 4" xfId="20294" xr:uid="{15771355-493B-4820-82D1-D06F91536AEE}"/>
    <cellStyle name="Normal 2 4 2 3 3 4 3" xfId="5509" xr:uid="{00000000-0005-0000-0000-0000030F0000}"/>
    <cellStyle name="Normal 2 4 2 3 3 4 3 2" xfId="13938" xr:uid="{F60F0132-6B54-4DA5-AC8F-016D2A3CDA62}"/>
    <cellStyle name="Normal 2 4 2 3 3 4 3 3" xfId="22366" xr:uid="{5E109CC4-74E9-46D0-9EF0-557D3B87583B}"/>
    <cellStyle name="Normal 2 4 2 3 3 4 4" xfId="9720" xr:uid="{9729C935-69DA-4AF9-86C7-E0A4BFE540AD}"/>
    <cellStyle name="Normal 2 4 2 3 3 4 5" xfId="18149" xr:uid="{AC478A08-26D7-487C-ABA8-0A0491866B85}"/>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96" xr:uid="{D178BCA3-8D7D-427E-A00B-A88C1ADEA054}"/>
    <cellStyle name="Normal 2 4 2 3 3 5 2 2 3" xfId="24924" xr:uid="{0EEBBDA4-577D-40D7-B364-0D61A3F6FEBE}"/>
    <cellStyle name="Normal 2 4 2 3 3 5 2 3" xfId="12278" xr:uid="{AFB8050A-B3E5-42B4-A567-9EADCCC0A240}"/>
    <cellStyle name="Normal 2 4 2 3 3 5 2 4" xfId="20707" xr:uid="{EAF37818-7F75-4FF3-8E05-287BB01F3DB1}"/>
    <cellStyle name="Normal 2 4 2 3 3 5 3" xfId="5922" xr:uid="{00000000-0005-0000-0000-0000070F0000}"/>
    <cellStyle name="Normal 2 4 2 3 3 5 3 2" xfId="14351" xr:uid="{C8475A44-878C-4F0B-8C37-1C4C99E53583}"/>
    <cellStyle name="Normal 2 4 2 3 3 5 3 3" xfId="22779" xr:uid="{A1772210-ABB4-4BCE-80C4-A821E032EC66}"/>
    <cellStyle name="Normal 2 4 2 3 3 5 4" xfId="10133" xr:uid="{A47F8325-C97F-4379-80DD-C340056908EF}"/>
    <cellStyle name="Normal 2 4 2 3 3 5 5" xfId="18562" xr:uid="{68F966D1-EC60-4341-9CD3-BA68EC587235}"/>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9" xr:uid="{970296A6-4E16-45B0-829A-439767CAAA0F}"/>
    <cellStyle name="Normal 2 4 2 3 3 6 2 2 3" xfId="25337" xr:uid="{45B54C34-11BE-4515-B1E9-E7A59E1C37D9}"/>
    <cellStyle name="Normal 2 4 2 3 3 6 2 3" xfId="12691" xr:uid="{DF982EBA-4AB0-4814-9FC2-E73B87E635AD}"/>
    <cellStyle name="Normal 2 4 2 3 3 6 2 4" xfId="21120" xr:uid="{D291AE56-4DB1-4591-8C04-3BF5CE31A23C}"/>
    <cellStyle name="Normal 2 4 2 3 3 6 3" xfId="6335" xr:uid="{00000000-0005-0000-0000-00000B0F0000}"/>
    <cellStyle name="Normal 2 4 2 3 3 6 3 2" xfId="14764" xr:uid="{7D7D117B-DC8D-4E7B-858F-9C0E26B85460}"/>
    <cellStyle name="Normal 2 4 2 3 3 6 3 3" xfId="23192" xr:uid="{1183EB1C-15EF-462E-99B0-06FAD251EE9A}"/>
    <cellStyle name="Normal 2 4 2 3 3 6 4" xfId="10546" xr:uid="{A51A368E-86DE-49AE-85F1-F1A03DA92EAD}"/>
    <cellStyle name="Normal 2 4 2 3 3 6 5" xfId="18975" xr:uid="{60067B4A-2EBC-4814-B662-34F778D12F49}"/>
    <cellStyle name="Normal 2 4 2 3 3 7" xfId="2463" xr:uid="{00000000-0005-0000-0000-00000C0F0000}"/>
    <cellStyle name="Normal 2 4 2 3 3 7 2" xfId="6748" xr:uid="{00000000-0005-0000-0000-00000D0F0000}"/>
    <cellStyle name="Normal 2 4 2 3 3 7 2 2" xfId="15177" xr:uid="{0FA9F263-F45C-4A44-9BFB-9304657EF90F}"/>
    <cellStyle name="Normal 2 4 2 3 3 7 2 3" xfId="23605" xr:uid="{B20F1021-69C2-44D7-85FB-D73B161862F8}"/>
    <cellStyle name="Normal 2 4 2 3 3 7 3" xfId="10959" xr:uid="{9D5188A5-405A-4D2A-96A4-C9B8E11F9F5D}"/>
    <cellStyle name="Normal 2 4 2 3 3 7 4" xfId="19388" xr:uid="{B3FA6C6F-FC1B-47AE-B1CD-14896B86906B}"/>
    <cellStyle name="Normal 2 4 2 3 3 8" xfId="4682" xr:uid="{00000000-0005-0000-0000-00000E0F0000}"/>
    <cellStyle name="Normal 2 4 2 3 3 8 2" xfId="13111" xr:uid="{A5B61C05-04F5-496A-9372-3989BF5C73D4}"/>
    <cellStyle name="Normal 2 4 2 3 3 8 3" xfId="21539" xr:uid="{90439FAE-3B0A-4405-81D2-79E6E709AAF7}"/>
    <cellStyle name="Normal 2 4 2 3 3 9" xfId="8893" xr:uid="{300A3BA2-C851-4182-A682-F9943E1DBB5D}"/>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72" xr:uid="{F120C45B-368C-40A1-95F5-284CCC15ED27}"/>
    <cellStyle name="Normal 2 4 2 3 4 2 2 2 3" xfId="24100" xr:uid="{CFF19EB1-4F86-48AA-A2E7-2B6C02E09CCD}"/>
    <cellStyle name="Normal 2 4 2 3 4 2 2 3" xfId="11454" xr:uid="{4766DFD4-7188-4960-921F-0506B1274227}"/>
    <cellStyle name="Normal 2 4 2 3 4 2 2 4" xfId="19883" xr:uid="{2A618AAF-6A5F-444F-A079-AD80DF4BE9AE}"/>
    <cellStyle name="Normal 2 4 2 3 4 2 3" xfId="5098" xr:uid="{00000000-0005-0000-0000-0000130F0000}"/>
    <cellStyle name="Normal 2 4 2 3 4 2 3 2" xfId="13527" xr:uid="{9C01C4A5-CD13-48EC-80E9-BA360C0252E2}"/>
    <cellStyle name="Normal 2 4 2 3 4 2 3 3" xfId="21955" xr:uid="{695F07E2-1CD3-44F1-B73B-968D84615178}"/>
    <cellStyle name="Normal 2 4 2 3 4 2 4" xfId="9309" xr:uid="{FE47584D-1B82-4D3E-8CB8-AA50C9B9A761}"/>
    <cellStyle name="Normal 2 4 2 3 4 2 5" xfId="17738" xr:uid="{A7AF0BC7-0C13-4742-8DF8-569982229E3A}"/>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85" xr:uid="{D9607C33-5E09-4CBA-8099-485FF07FE740}"/>
    <cellStyle name="Normal 2 4 2 3 4 3 2 2 3" xfId="24513" xr:uid="{111FAE0A-73C2-4F5C-824B-16C68AB9A2DA}"/>
    <cellStyle name="Normal 2 4 2 3 4 3 2 3" xfId="11867" xr:uid="{364E27AA-D32B-4CE0-BED7-6B99B3E45F17}"/>
    <cellStyle name="Normal 2 4 2 3 4 3 2 4" xfId="20296" xr:uid="{465CE294-4C80-4F33-9028-625F1E4F2BCB}"/>
    <cellStyle name="Normal 2 4 2 3 4 3 3" xfId="5511" xr:uid="{00000000-0005-0000-0000-0000170F0000}"/>
    <cellStyle name="Normal 2 4 2 3 4 3 3 2" xfId="13940" xr:uid="{C2A8C4F1-7CF1-44BE-91BA-B429361E700F}"/>
    <cellStyle name="Normal 2 4 2 3 4 3 3 3" xfId="22368" xr:uid="{D7B1CB4B-27C3-48ED-9C5B-99A0553774BB}"/>
    <cellStyle name="Normal 2 4 2 3 4 3 4" xfId="9722" xr:uid="{21611652-CC99-409D-837C-F47B16688342}"/>
    <cellStyle name="Normal 2 4 2 3 4 3 5" xfId="18151" xr:uid="{7B4EDFCB-6BA0-4CA5-A2AE-33AA0EADA167}"/>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8" xr:uid="{3C46B1A1-38C7-4DF2-9B28-44E3B92F0DE7}"/>
    <cellStyle name="Normal 2 4 2 3 4 4 2 2 3" xfId="24926" xr:uid="{B4DB3C01-CB87-45A9-A556-F2192851A909}"/>
    <cellStyle name="Normal 2 4 2 3 4 4 2 3" xfId="12280" xr:uid="{6CEBCA4A-493F-4BB8-95E0-E15B11928A14}"/>
    <cellStyle name="Normal 2 4 2 3 4 4 2 4" xfId="20709" xr:uid="{B6757239-2428-48C5-A42A-B6D0D13717C5}"/>
    <cellStyle name="Normal 2 4 2 3 4 4 3" xfId="5924" xr:uid="{00000000-0005-0000-0000-00001B0F0000}"/>
    <cellStyle name="Normal 2 4 2 3 4 4 3 2" xfId="14353" xr:uid="{50EC0E28-BDA2-4318-8AF2-5DD70F8B8411}"/>
    <cellStyle name="Normal 2 4 2 3 4 4 3 3" xfId="22781" xr:uid="{A1E2010A-58AA-4B7C-9B9A-D781647F4950}"/>
    <cellStyle name="Normal 2 4 2 3 4 4 4" xfId="10135" xr:uid="{4F5C1266-B988-4AFD-88DD-D32924436D0F}"/>
    <cellStyle name="Normal 2 4 2 3 4 4 5" xfId="18564" xr:uid="{A5A050BC-C671-4B3C-9FF2-E87D4E64CF92}"/>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11" xr:uid="{212967EC-0546-4065-93EA-079BE967790D}"/>
    <cellStyle name="Normal 2 4 2 3 4 5 2 2 3" xfId="25339" xr:uid="{3B71FE6D-27F3-4A32-9B0F-FBEDD4B14BC8}"/>
    <cellStyle name="Normal 2 4 2 3 4 5 2 3" xfId="12693" xr:uid="{F680DA0A-B388-476F-B600-CFF96492BE10}"/>
    <cellStyle name="Normal 2 4 2 3 4 5 2 4" xfId="21122" xr:uid="{26C4D379-2AF0-4D09-A756-A1B4326F8BA5}"/>
    <cellStyle name="Normal 2 4 2 3 4 5 3" xfId="6337" xr:uid="{00000000-0005-0000-0000-00001F0F0000}"/>
    <cellStyle name="Normal 2 4 2 3 4 5 3 2" xfId="14766" xr:uid="{6276D90D-7356-4106-8DC8-3BF95356AABF}"/>
    <cellStyle name="Normal 2 4 2 3 4 5 3 3" xfId="23194" xr:uid="{4B9A24E4-EF56-4966-B2AF-0172DAAFFB8C}"/>
    <cellStyle name="Normal 2 4 2 3 4 5 4" xfId="10548" xr:uid="{2A98BFE5-8297-451A-8ACE-19E7FBDA5D2A}"/>
    <cellStyle name="Normal 2 4 2 3 4 5 5" xfId="18977" xr:uid="{87C972C7-5173-4B0B-941C-4A910D409851}"/>
    <cellStyle name="Normal 2 4 2 3 4 6" xfId="2465" xr:uid="{00000000-0005-0000-0000-0000200F0000}"/>
    <cellStyle name="Normal 2 4 2 3 4 6 2" xfId="6750" xr:uid="{00000000-0005-0000-0000-0000210F0000}"/>
    <cellStyle name="Normal 2 4 2 3 4 6 2 2" xfId="15179" xr:uid="{C59B017A-4F6A-43CE-A442-C330FA488419}"/>
    <cellStyle name="Normal 2 4 2 3 4 6 2 3" xfId="23607" xr:uid="{3D13ABF9-DCFC-4E27-AE79-023A33740964}"/>
    <cellStyle name="Normal 2 4 2 3 4 6 3" xfId="10961" xr:uid="{C172D4CA-27BA-472C-BC4C-79F49E0F1D68}"/>
    <cellStyle name="Normal 2 4 2 3 4 6 4" xfId="19390" xr:uid="{5D3E2B2B-FE0F-491D-879D-B30AEDFA8240}"/>
    <cellStyle name="Normal 2 4 2 3 4 7" xfId="4684" xr:uid="{00000000-0005-0000-0000-0000220F0000}"/>
    <cellStyle name="Normal 2 4 2 3 4 7 2" xfId="13113" xr:uid="{29730A17-AAD9-4E71-B4BB-3126445A95A2}"/>
    <cellStyle name="Normal 2 4 2 3 4 7 3" xfId="21541" xr:uid="{A30A889E-A3FC-40B4-9754-F01B4410B83C}"/>
    <cellStyle name="Normal 2 4 2 3 4 8" xfId="8895" xr:uid="{0526371D-8E51-498E-9993-948E443B0BDE}"/>
    <cellStyle name="Normal 2 4 2 3 4 9" xfId="17324" xr:uid="{87B1B9BC-5126-478E-BEC0-345A6AE6D29D}"/>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65" xr:uid="{AEA5CEAB-6E7F-4702-AFFD-D99F8474E535}"/>
    <cellStyle name="Normal 2 4 2 3 5 2 2 3" xfId="24093" xr:uid="{5FFD17F9-4482-4C99-AB7C-2B7252F9C7C4}"/>
    <cellStyle name="Normal 2 4 2 3 5 2 3" xfId="11447" xr:uid="{D19AA9DF-23F8-40C6-915B-C21237EEB6F8}"/>
    <cellStyle name="Normal 2 4 2 3 5 2 4" xfId="19876" xr:uid="{2207ACDC-AA74-4DE5-A049-2C9B9BDBBE5D}"/>
    <cellStyle name="Normal 2 4 2 3 5 3" xfId="5091" xr:uid="{00000000-0005-0000-0000-0000260F0000}"/>
    <cellStyle name="Normal 2 4 2 3 5 3 2" xfId="13520" xr:uid="{7D49052E-580A-4D5A-9DC4-FFADD54742B7}"/>
    <cellStyle name="Normal 2 4 2 3 5 3 3" xfId="21948" xr:uid="{2DB126DD-67E7-46B2-8CF2-9651FC006BBA}"/>
    <cellStyle name="Normal 2 4 2 3 5 4" xfId="9302" xr:uid="{27B7A8A9-6C98-498D-A45F-C46254B55E33}"/>
    <cellStyle name="Normal 2 4 2 3 5 5" xfId="17731" xr:uid="{D79F4E0F-E5DE-4639-A1BE-269884735659}"/>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8" xr:uid="{E151D20B-3207-4D40-8B40-8A7AE0D10B4B}"/>
    <cellStyle name="Normal 2 4 2 3 6 2 2 3" xfId="24506" xr:uid="{ADDE191B-345A-49B4-BF06-5FE52D145B0B}"/>
    <cellStyle name="Normal 2 4 2 3 6 2 3" xfId="11860" xr:uid="{1F49140B-26C5-4D4D-9401-FFF2F6F9F3D4}"/>
    <cellStyle name="Normal 2 4 2 3 6 2 4" xfId="20289" xr:uid="{27258BBA-CFF0-41C2-8C21-DE8FF42BC2FF}"/>
    <cellStyle name="Normal 2 4 2 3 6 3" xfId="5504" xr:uid="{00000000-0005-0000-0000-00002A0F0000}"/>
    <cellStyle name="Normal 2 4 2 3 6 3 2" xfId="13933" xr:uid="{B9ED3EDF-2454-4611-884A-C1758255447B}"/>
    <cellStyle name="Normal 2 4 2 3 6 3 3" xfId="22361" xr:uid="{D66050A6-40C4-4B07-83C7-1080CB95D29F}"/>
    <cellStyle name="Normal 2 4 2 3 6 4" xfId="9715" xr:uid="{C1DE2232-AE6C-4F11-BFDA-F5276A92BFA2}"/>
    <cellStyle name="Normal 2 4 2 3 6 5" xfId="18144" xr:uid="{915F078A-04E5-4B95-B58C-18A69E9D6D73}"/>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91" xr:uid="{34C719F9-42AD-4FF5-B99F-CBEB0A0BFAE9}"/>
    <cellStyle name="Normal 2 4 2 3 7 2 2 3" xfId="24919" xr:uid="{2F93D88A-721F-463F-AB8C-9D3F87B37842}"/>
    <cellStyle name="Normal 2 4 2 3 7 2 3" xfId="12273" xr:uid="{DB54E0C3-C50D-4D26-B848-CBEFADCFB299}"/>
    <cellStyle name="Normal 2 4 2 3 7 2 4" xfId="20702" xr:uid="{C5B96C4E-DE7D-4C79-861B-74567FF2F011}"/>
    <cellStyle name="Normal 2 4 2 3 7 3" xfId="5917" xr:uid="{00000000-0005-0000-0000-00002E0F0000}"/>
    <cellStyle name="Normal 2 4 2 3 7 3 2" xfId="14346" xr:uid="{9B13B5E7-1D12-4AE2-AC0E-C92A185B307A}"/>
    <cellStyle name="Normal 2 4 2 3 7 3 3" xfId="22774" xr:uid="{0F36440C-0238-4AE2-8BC3-E8BFEA410744}"/>
    <cellStyle name="Normal 2 4 2 3 7 4" xfId="10128" xr:uid="{8A34DC90-E0C2-4DAC-B723-0E7D75C5861B}"/>
    <cellStyle name="Normal 2 4 2 3 7 5" xfId="18557" xr:uid="{FECE7D24-2797-467C-9181-B641F1817B8B}"/>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904" xr:uid="{0646B887-F3EB-4D85-B8C9-00E225E671C5}"/>
    <cellStyle name="Normal 2 4 2 3 8 2 2 3" xfId="25332" xr:uid="{D45F7B63-B35B-44C6-82F4-E6E6B841FE52}"/>
    <cellStyle name="Normal 2 4 2 3 8 2 3" xfId="12686" xr:uid="{9DEF1113-2589-48D1-A61F-B1DDB4A398FB}"/>
    <cellStyle name="Normal 2 4 2 3 8 2 4" xfId="21115" xr:uid="{B985EDF0-68FF-439D-A4C4-D26369F770A1}"/>
    <cellStyle name="Normal 2 4 2 3 8 3" xfId="6330" xr:uid="{00000000-0005-0000-0000-0000320F0000}"/>
    <cellStyle name="Normal 2 4 2 3 8 3 2" xfId="14759" xr:uid="{D87CEA99-35E1-4AF8-9B0B-36064D024129}"/>
    <cellStyle name="Normal 2 4 2 3 8 3 3" xfId="23187" xr:uid="{A77849E7-FAFC-4CBC-8D83-562BBC8CCF61}"/>
    <cellStyle name="Normal 2 4 2 3 8 4" xfId="10541" xr:uid="{01119D02-7499-4D46-AFAD-B698691036C7}"/>
    <cellStyle name="Normal 2 4 2 3 8 5" xfId="18970" xr:uid="{0AD5B039-D30E-4D30-9CBB-11651A096A52}"/>
    <cellStyle name="Normal 2 4 2 3 9" xfId="2458" xr:uid="{00000000-0005-0000-0000-0000330F0000}"/>
    <cellStyle name="Normal 2 4 2 3 9 2" xfId="6743" xr:uid="{00000000-0005-0000-0000-0000340F0000}"/>
    <cellStyle name="Normal 2 4 2 3 9 2 2" xfId="15172" xr:uid="{E0FE2B23-EF10-474C-90FA-3CB54FA63467}"/>
    <cellStyle name="Normal 2 4 2 3 9 2 3" xfId="23600" xr:uid="{66E96B89-DE8C-4C2C-99DE-FD791B793654}"/>
    <cellStyle name="Normal 2 4 2 3 9 3" xfId="10954" xr:uid="{C274E9C1-C39F-4759-A8E9-36C7BE468DDD}"/>
    <cellStyle name="Normal 2 4 2 3 9 4" xfId="19383" xr:uid="{008EC215-8DC3-447E-B749-63376C6CC3AC}"/>
    <cellStyle name="Normal 2 4 2 4" xfId="289" xr:uid="{00000000-0005-0000-0000-0000350F0000}"/>
    <cellStyle name="Normal 2 4 2 4 10" xfId="8896" xr:uid="{0EDC1DAA-159A-439D-92AF-9206A711E9F8}"/>
    <cellStyle name="Normal 2 4 2 4 11" xfId="17325" xr:uid="{F67CF20F-1691-4335-BF16-5B0F41733E62}"/>
    <cellStyle name="Normal 2 4 2 4 2" xfId="290" xr:uid="{00000000-0005-0000-0000-0000360F0000}"/>
    <cellStyle name="Normal 2 4 2 4 2 10" xfId="17326" xr:uid="{3F7F2AD0-B32E-46F9-B9FA-87C70D8B7265}"/>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75" xr:uid="{FF9ACAA5-B824-410E-BCDD-BAFF225A5742}"/>
    <cellStyle name="Normal 2 4 2 4 2 2 2 2 2 3" xfId="24103" xr:uid="{84FF9AA9-4807-4804-9DC4-E8CB80926276}"/>
    <cellStyle name="Normal 2 4 2 4 2 2 2 2 3" xfId="11457" xr:uid="{D6B32FC5-14AF-4DD1-92F6-F839DD317C79}"/>
    <cellStyle name="Normal 2 4 2 4 2 2 2 2 4" xfId="19886" xr:uid="{B32BA905-4F3E-4ACC-A9A0-766DDB4E6E47}"/>
    <cellStyle name="Normal 2 4 2 4 2 2 2 3" xfId="5101" xr:uid="{00000000-0005-0000-0000-00003B0F0000}"/>
    <cellStyle name="Normal 2 4 2 4 2 2 2 3 2" xfId="13530" xr:uid="{D46A9C46-17B5-46E2-A6D9-29D36EB5AD11}"/>
    <cellStyle name="Normal 2 4 2 4 2 2 2 3 3" xfId="21958" xr:uid="{306EBB62-260F-4591-AB08-6F9CB19B0684}"/>
    <cellStyle name="Normal 2 4 2 4 2 2 2 4" xfId="9312" xr:uid="{2BA8EC7A-1ABB-4964-A390-A84596FE46A7}"/>
    <cellStyle name="Normal 2 4 2 4 2 2 2 5" xfId="17741" xr:uid="{A08B439E-BAB8-4FC7-A01F-592FD6B84607}"/>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8" xr:uid="{C9A2F28D-20F5-4241-B5F9-F60F4EAD1D7A}"/>
    <cellStyle name="Normal 2 4 2 4 2 2 3 2 2 3" xfId="24516" xr:uid="{441A8F5A-C612-40C4-A5DF-90D7A3D0D8B0}"/>
    <cellStyle name="Normal 2 4 2 4 2 2 3 2 3" xfId="11870" xr:uid="{A2C994F8-DD80-4AE9-80FA-174BD5CAEC09}"/>
    <cellStyle name="Normal 2 4 2 4 2 2 3 2 4" xfId="20299" xr:uid="{7118F175-3E86-48FD-B23D-6B9289F0E466}"/>
    <cellStyle name="Normal 2 4 2 4 2 2 3 3" xfId="5514" xr:uid="{00000000-0005-0000-0000-00003F0F0000}"/>
    <cellStyle name="Normal 2 4 2 4 2 2 3 3 2" xfId="13943" xr:uid="{6ADF4C44-6E72-47EC-984B-F037876221D6}"/>
    <cellStyle name="Normal 2 4 2 4 2 2 3 3 3" xfId="22371" xr:uid="{B8A6057A-15B5-4425-AAB0-55ECD8B42306}"/>
    <cellStyle name="Normal 2 4 2 4 2 2 3 4" xfId="9725" xr:uid="{7A0ABE1C-AB4C-4A6C-AF64-6A43544F08E1}"/>
    <cellStyle name="Normal 2 4 2 4 2 2 3 5" xfId="18154" xr:uid="{B7869199-86B9-45E4-A788-FE5FAF6447E6}"/>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501" xr:uid="{7CB23F3E-5A4A-461F-BE08-AD9BEBC036AC}"/>
    <cellStyle name="Normal 2 4 2 4 2 2 4 2 2 3" xfId="24929" xr:uid="{27A57000-1F43-4E83-BDEF-39D0CB8FA405}"/>
    <cellStyle name="Normal 2 4 2 4 2 2 4 2 3" xfId="12283" xr:uid="{86C9F29F-45C8-4A85-A217-5C1ECD7CA821}"/>
    <cellStyle name="Normal 2 4 2 4 2 2 4 2 4" xfId="20712" xr:uid="{3606096D-4327-456B-AD7C-FBD50E9C298B}"/>
    <cellStyle name="Normal 2 4 2 4 2 2 4 3" xfId="5927" xr:uid="{00000000-0005-0000-0000-0000430F0000}"/>
    <cellStyle name="Normal 2 4 2 4 2 2 4 3 2" xfId="14356" xr:uid="{CFD88839-7647-4AF9-893A-056D1B9DB7DC}"/>
    <cellStyle name="Normal 2 4 2 4 2 2 4 3 3" xfId="22784" xr:uid="{2889836A-8027-4435-8DCC-B9E58F0CF327}"/>
    <cellStyle name="Normal 2 4 2 4 2 2 4 4" xfId="10138" xr:uid="{29AA2F12-BBC9-4A58-BE3F-BCF4ABE37ABD}"/>
    <cellStyle name="Normal 2 4 2 4 2 2 4 5" xfId="18567" xr:uid="{C7100E22-9D87-4F1D-96F5-946F618059F3}"/>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14" xr:uid="{D4373A33-EC11-46A1-8CCC-5ED89683403B}"/>
    <cellStyle name="Normal 2 4 2 4 2 2 5 2 2 3" xfId="25342" xr:uid="{EDBB490A-110D-427C-BC46-6D30538D570C}"/>
    <cellStyle name="Normal 2 4 2 4 2 2 5 2 3" xfId="12696" xr:uid="{A1D5FD9F-77E7-4460-8E0F-B45B95A07E28}"/>
    <cellStyle name="Normal 2 4 2 4 2 2 5 2 4" xfId="21125" xr:uid="{353B274D-2924-4DF7-832F-88244859E4EF}"/>
    <cellStyle name="Normal 2 4 2 4 2 2 5 3" xfId="6340" xr:uid="{00000000-0005-0000-0000-0000470F0000}"/>
    <cellStyle name="Normal 2 4 2 4 2 2 5 3 2" xfId="14769" xr:uid="{EF0BBF15-29B9-4962-AACC-9F9DA61631E1}"/>
    <cellStyle name="Normal 2 4 2 4 2 2 5 3 3" xfId="23197" xr:uid="{4CD0A825-DEDA-4A79-BD4D-7795CCA8657B}"/>
    <cellStyle name="Normal 2 4 2 4 2 2 5 4" xfId="10551" xr:uid="{612ABDE2-911E-49E5-80F4-8510612D7A70}"/>
    <cellStyle name="Normal 2 4 2 4 2 2 5 5" xfId="18980" xr:uid="{B8F60F86-FB93-4932-A99F-E7A940FDC3EF}"/>
    <cellStyle name="Normal 2 4 2 4 2 2 6" xfId="2468" xr:uid="{00000000-0005-0000-0000-0000480F0000}"/>
    <cellStyle name="Normal 2 4 2 4 2 2 6 2" xfId="6753" xr:uid="{00000000-0005-0000-0000-0000490F0000}"/>
    <cellStyle name="Normal 2 4 2 4 2 2 6 2 2" xfId="15182" xr:uid="{96E21B6D-4A41-4790-A89C-9950B2D02320}"/>
    <cellStyle name="Normal 2 4 2 4 2 2 6 2 3" xfId="23610" xr:uid="{17D2C087-1299-4851-A288-8CE38B25033C}"/>
    <cellStyle name="Normal 2 4 2 4 2 2 6 3" xfId="10964" xr:uid="{72197105-089A-42F8-8807-E611A1F3BA03}"/>
    <cellStyle name="Normal 2 4 2 4 2 2 6 4" xfId="19393" xr:uid="{B328718F-BDCE-4D04-80B0-099D2CD9442A}"/>
    <cellStyle name="Normal 2 4 2 4 2 2 7" xfId="4687" xr:uid="{00000000-0005-0000-0000-00004A0F0000}"/>
    <cellStyle name="Normal 2 4 2 4 2 2 7 2" xfId="13116" xr:uid="{D04D3D18-5662-4592-9704-B78E09FDEDA7}"/>
    <cellStyle name="Normal 2 4 2 4 2 2 7 3" xfId="21544" xr:uid="{EA87DC67-7469-46E8-AFCB-F1DBBC38A2E9}"/>
    <cellStyle name="Normal 2 4 2 4 2 2 8" xfId="8898" xr:uid="{2E164493-7E59-4B38-B86F-0D598B45B722}"/>
    <cellStyle name="Normal 2 4 2 4 2 2 9" xfId="17327" xr:uid="{48BCDB68-8B43-45FD-B8B5-90BBF3A1FA96}"/>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74" xr:uid="{97AB5F45-FBB4-4AD2-B9F0-0DB9896FA74F}"/>
    <cellStyle name="Normal 2 4 2 4 2 3 2 2 3" xfId="24102" xr:uid="{B8245DF9-0E5D-4F55-83FD-81D25CB3E533}"/>
    <cellStyle name="Normal 2 4 2 4 2 3 2 3" xfId="11456" xr:uid="{0ABD9502-06E6-41FA-BC36-26C35A3265E2}"/>
    <cellStyle name="Normal 2 4 2 4 2 3 2 4" xfId="19885" xr:uid="{BD9A7A64-E88C-43DD-B5C0-257C5745E30E}"/>
    <cellStyle name="Normal 2 4 2 4 2 3 3" xfId="5100" xr:uid="{00000000-0005-0000-0000-00004E0F0000}"/>
    <cellStyle name="Normal 2 4 2 4 2 3 3 2" xfId="13529" xr:uid="{45860879-545A-4BDB-83D6-54C13F6B85E6}"/>
    <cellStyle name="Normal 2 4 2 4 2 3 3 3" xfId="21957" xr:uid="{0355F7F2-3C87-465F-9B7C-293236B3723C}"/>
    <cellStyle name="Normal 2 4 2 4 2 3 4" xfId="9311" xr:uid="{3213003F-3D44-4CCB-8474-3DB7F5A7DD0C}"/>
    <cellStyle name="Normal 2 4 2 4 2 3 5" xfId="17740" xr:uid="{FBBD330F-6E7D-4785-B59E-2EA1BCA37C4E}"/>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7" xr:uid="{0C4984D6-BA27-46D6-AAB1-EC546176B04F}"/>
    <cellStyle name="Normal 2 4 2 4 2 4 2 2 3" xfId="24515" xr:uid="{38A96ED1-0649-491B-BA11-DD9D6A0001C8}"/>
    <cellStyle name="Normal 2 4 2 4 2 4 2 3" xfId="11869" xr:uid="{6132B4B4-E9F8-4063-A39C-BECF622A0B45}"/>
    <cellStyle name="Normal 2 4 2 4 2 4 2 4" xfId="20298" xr:uid="{126D9D03-F625-468F-B59D-05183B26DDA5}"/>
    <cellStyle name="Normal 2 4 2 4 2 4 3" xfId="5513" xr:uid="{00000000-0005-0000-0000-0000520F0000}"/>
    <cellStyle name="Normal 2 4 2 4 2 4 3 2" xfId="13942" xr:uid="{6AE1796F-E99D-4B63-B8C4-9FC7D11CE394}"/>
    <cellStyle name="Normal 2 4 2 4 2 4 3 3" xfId="22370" xr:uid="{4D1880E2-15B3-4AEF-B7A6-48AB0E6CDF07}"/>
    <cellStyle name="Normal 2 4 2 4 2 4 4" xfId="9724" xr:uid="{A4D95B95-4AF4-4098-9B78-8885C0EEF7BA}"/>
    <cellStyle name="Normal 2 4 2 4 2 4 5" xfId="18153" xr:uid="{86B927D5-7089-454C-B92E-265C978C33C4}"/>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500" xr:uid="{9E9C0D82-BDA0-45E3-B6F0-586BDC512E6C}"/>
    <cellStyle name="Normal 2 4 2 4 2 5 2 2 3" xfId="24928" xr:uid="{8CDFEB6F-DFA6-4135-8FAC-7851C7CFCB5C}"/>
    <cellStyle name="Normal 2 4 2 4 2 5 2 3" xfId="12282" xr:uid="{B641BE58-36C8-417D-9B0C-6BA4A680842B}"/>
    <cellStyle name="Normal 2 4 2 4 2 5 2 4" xfId="20711" xr:uid="{4EC57586-7A93-4B4C-832D-C974CA45778B}"/>
    <cellStyle name="Normal 2 4 2 4 2 5 3" xfId="5926" xr:uid="{00000000-0005-0000-0000-0000560F0000}"/>
    <cellStyle name="Normal 2 4 2 4 2 5 3 2" xfId="14355" xr:uid="{A2A1F1B0-FE2D-42B4-81B1-53F9D5D92BAC}"/>
    <cellStyle name="Normal 2 4 2 4 2 5 3 3" xfId="22783" xr:uid="{431B17D7-AB1F-4B17-8BA7-5A6BCB5BBBCC}"/>
    <cellStyle name="Normal 2 4 2 4 2 5 4" xfId="10137" xr:uid="{97D66435-DDDD-4273-9CAC-8AE63F15C61A}"/>
    <cellStyle name="Normal 2 4 2 4 2 5 5" xfId="18566" xr:uid="{318B6CC4-4D88-4B14-A4D8-FF6D3A9B6D77}"/>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13" xr:uid="{69D2B658-A4DA-4509-823B-9642618026C9}"/>
    <cellStyle name="Normal 2 4 2 4 2 6 2 2 3" xfId="25341" xr:uid="{E727A4D1-ECBA-4919-B25A-5C592F5CD2BC}"/>
    <cellStyle name="Normal 2 4 2 4 2 6 2 3" xfId="12695" xr:uid="{09655ECC-CAF7-410B-BE09-28F0EE10D2BF}"/>
    <cellStyle name="Normal 2 4 2 4 2 6 2 4" xfId="21124" xr:uid="{DD7BBD48-024A-4106-B698-3D0270C107EF}"/>
    <cellStyle name="Normal 2 4 2 4 2 6 3" xfId="6339" xr:uid="{00000000-0005-0000-0000-00005A0F0000}"/>
    <cellStyle name="Normal 2 4 2 4 2 6 3 2" xfId="14768" xr:uid="{083DF092-0129-430D-B07F-D02A0C607080}"/>
    <cellStyle name="Normal 2 4 2 4 2 6 3 3" xfId="23196" xr:uid="{C87BCB19-3638-4C67-AB97-5619450DF507}"/>
    <cellStyle name="Normal 2 4 2 4 2 6 4" xfId="10550" xr:uid="{70383BAE-9AF6-4733-8EBB-E514CC83E582}"/>
    <cellStyle name="Normal 2 4 2 4 2 6 5" xfId="18979" xr:uid="{593AAD02-642B-44C7-AE5C-D6FD664C2785}"/>
    <cellStyle name="Normal 2 4 2 4 2 7" xfId="2467" xr:uid="{00000000-0005-0000-0000-00005B0F0000}"/>
    <cellStyle name="Normal 2 4 2 4 2 7 2" xfId="6752" xr:uid="{00000000-0005-0000-0000-00005C0F0000}"/>
    <cellStyle name="Normal 2 4 2 4 2 7 2 2" xfId="15181" xr:uid="{D6EEF8FF-112C-4D2C-B162-46229E83BD3C}"/>
    <cellStyle name="Normal 2 4 2 4 2 7 2 3" xfId="23609" xr:uid="{6CFF5BF4-EF4A-470B-AAA3-AE286236D8C9}"/>
    <cellStyle name="Normal 2 4 2 4 2 7 3" xfId="10963" xr:uid="{AB135DCF-26D4-47A3-B8D4-7A9E88D2E75A}"/>
    <cellStyle name="Normal 2 4 2 4 2 7 4" xfId="19392" xr:uid="{56A6D590-E495-4628-A639-CEF0CD5DD788}"/>
    <cellStyle name="Normal 2 4 2 4 2 8" xfId="4686" xr:uid="{00000000-0005-0000-0000-00005D0F0000}"/>
    <cellStyle name="Normal 2 4 2 4 2 8 2" xfId="13115" xr:uid="{D74B7DE0-1366-4EE5-BFA0-A4C0DC35C3A1}"/>
    <cellStyle name="Normal 2 4 2 4 2 8 3" xfId="21543" xr:uid="{1300011D-E251-48EA-AD85-4E9E477F7248}"/>
    <cellStyle name="Normal 2 4 2 4 2 9" xfId="8897" xr:uid="{BADEE1E7-71F9-4553-A0C0-53F5C790007F}"/>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76" xr:uid="{7DE66C6C-16B7-471A-87E4-7DB740579F2D}"/>
    <cellStyle name="Normal 2 4 2 4 3 2 2 2 3" xfId="24104" xr:uid="{8FD003B1-1FEF-462D-8B78-3F1F99241F4E}"/>
    <cellStyle name="Normal 2 4 2 4 3 2 2 3" xfId="11458" xr:uid="{BD675A07-D6DC-4D67-85C2-781DD6DE6127}"/>
    <cellStyle name="Normal 2 4 2 4 3 2 2 4" xfId="19887" xr:uid="{F639C8C3-F590-4750-BF36-BC62CA64A60A}"/>
    <cellStyle name="Normal 2 4 2 4 3 2 3" xfId="5102" xr:uid="{00000000-0005-0000-0000-0000620F0000}"/>
    <cellStyle name="Normal 2 4 2 4 3 2 3 2" xfId="13531" xr:uid="{81988A08-BE6E-4149-B0C8-6DDF266A46A6}"/>
    <cellStyle name="Normal 2 4 2 4 3 2 3 3" xfId="21959" xr:uid="{7CB44D11-3C0C-4A26-B73E-FB231C86437D}"/>
    <cellStyle name="Normal 2 4 2 4 3 2 4" xfId="9313" xr:uid="{0E20FEF9-5090-44A4-BFE7-7BAEFE012948}"/>
    <cellStyle name="Normal 2 4 2 4 3 2 5" xfId="17742" xr:uid="{3F14E9A6-1D27-48B0-8F2F-692853EEC629}"/>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9" xr:uid="{6736919D-493A-4048-97E5-24FC0A975DA4}"/>
    <cellStyle name="Normal 2 4 2 4 3 3 2 2 3" xfId="24517" xr:uid="{9792EAEB-BA1F-4777-B42C-4F1ADBF62147}"/>
    <cellStyle name="Normal 2 4 2 4 3 3 2 3" xfId="11871" xr:uid="{2C090423-4070-429C-B061-DD909A090765}"/>
    <cellStyle name="Normal 2 4 2 4 3 3 2 4" xfId="20300" xr:uid="{3393F1AE-E096-48E1-8DA7-68E133D2E31F}"/>
    <cellStyle name="Normal 2 4 2 4 3 3 3" xfId="5515" xr:uid="{00000000-0005-0000-0000-0000660F0000}"/>
    <cellStyle name="Normal 2 4 2 4 3 3 3 2" xfId="13944" xr:uid="{0A79C58B-3934-4F51-BB75-9D5FC328F33B}"/>
    <cellStyle name="Normal 2 4 2 4 3 3 3 3" xfId="22372" xr:uid="{BBD86891-9223-49A2-87A8-3ED66A7989D2}"/>
    <cellStyle name="Normal 2 4 2 4 3 3 4" xfId="9726" xr:uid="{C287CDA0-DBB6-460A-8370-F2451556AFE3}"/>
    <cellStyle name="Normal 2 4 2 4 3 3 5" xfId="18155" xr:uid="{1FAA095E-ADE5-47A6-9A19-913C26615A07}"/>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502" xr:uid="{EDE8FA10-547B-48B5-8605-471D2AE30140}"/>
    <cellStyle name="Normal 2 4 2 4 3 4 2 2 3" xfId="24930" xr:uid="{8495B057-21DD-45BF-A5FC-849271000212}"/>
    <cellStyle name="Normal 2 4 2 4 3 4 2 3" xfId="12284" xr:uid="{C052DAE7-E929-440F-A4F8-4D95CF6BA072}"/>
    <cellStyle name="Normal 2 4 2 4 3 4 2 4" xfId="20713" xr:uid="{E9BEFCBC-266B-4E23-BB24-7BF91CB4D3EB}"/>
    <cellStyle name="Normal 2 4 2 4 3 4 3" xfId="5928" xr:uid="{00000000-0005-0000-0000-00006A0F0000}"/>
    <cellStyle name="Normal 2 4 2 4 3 4 3 2" xfId="14357" xr:uid="{F1DEF28E-A149-44F1-8004-0A9E96550171}"/>
    <cellStyle name="Normal 2 4 2 4 3 4 3 3" xfId="22785" xr:uid="{EE2FE370-52FC-4380-AAC1-4A992C055999}"/>
    <cellStyle name="Normal 2 4 2 4 3 4 4" xfId="10139" xr:uid="{9D1CD35D-080C-4F05-A195-28B5512EC337}"/>
    <cellStyle name="Normal 2 4 2 4 3 4 5" xfId="18568" xr:uid="{B620304E-03D0-4838-9D1D-F36F30227461}"/>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15" xr:uid="{3212709D-205C-476D-B97E-D35C3FB3432D}"/>
    <cellStyle name="Normal 2 4 2 4 3 5 2 2 3" xfId="25343" xr:uid="{B0945927-BC4C-4E00-B29D-9841B0A0F9D1}"/>
    <cellStyle name="Normal 2 4 2 4 3 5 2 3" xfId="12697" xr:uid="{352F5469-0101-449A-890B-0FF24E1D1DFB}"/>
    <cellStyle name="Normal 2 4 2 4 3 5 2 4" xfId="21126" xr:uid="{43577EBB-E3D7-47ED-9415-D93BE401D79A}"/>
    <cellStyle name="Normal 2 4 2 4 3 5 3" xfId="6341" xr:uid="{00000000-0005-0000-0000-00006E0F0000}"/>
    <cellStyle name="Normal 2 4 2 4 3 5 3 2" xfId="14770" xr:uid="{4E5F04B2-A984-4213-8F4A-CBB69CF9A154}"/>
    <cellStyle name="Normal 2 4 2 4 3 5 3 3" xfId="23198" xr:uid="{400086D0-D5C4-4043-8DB6-E3CEFC9B0AB3}"/>
    <cellStyle name="Normal 2 4 2 4 3 5 4" xfId="10552" xr:uid="{472CFD4B-E227-4E9A-AD61-BBC5C24730BC}"/>
    <cellStyle name="Normal 2 4 2 4 3 5 5" xfId="18981" xr:uid="{F2408C67-75F8-4B44-A052-9DB31DAE2BFC}"/>
    <cellStyle name="Normal 2 4 2 4 3 6" xfId="2469" xr:uid="{00000000-0005-0000-0000-00006F0F0000}"/>
    <cellStyle name="Normal 2 4 2 4 3 6 2" xfId="6754" xr:uid="{00000000-0005-0000-0000-0000700F0000}"/>
    <cellStyle name="Normal 2 4 2 4 3 6 2 2" xfId="15183" xr:uid="{A043B203-70DC-4106-A0A0-4AAB651E2224}"/>
    <cellStyle name="Normal 2 4 2 4 3 6 2 3" xfId="23611" xr:uid="{4E2E2A98-4B84-4234-95C4-29B8E7845071}"/>
    <cellStyle name="Normal 2 4 2 4 3 6 3" xfId="10965" xr:uid="{6E5FCE81-05B1-4E92-BB30-6B28E3637DF2}"/>
    <cellStyle name="Normal 2 4 2 4 3 6 4" xfId="19394" xr:uid="{CA6AD0AD-DA52-4103-94D7-F03792E446C9}"/>
    <cellStyle name="Normal 2 4 2 4 3 7" xfId="4688" xr:uid="{00000000-0005-0000-0000-0000710F0000}"/>
    <cellStyle name="Normal 2 4 2 4 3 7 2" xfId="13117" xr:uid="{2DCBBE89-67C2-4B21-89D8-117E18D951B8}"/>
    <cellStyle name="Normal 2 4 2 4 3 7 3" xfId="21545" xr:uid="{E6B16AC8-6105-4859-BAFD-6C7E4A35729E}"/>
    <cellStyle name="Normal 2 4 2 4 3 8" xfId="8899" xr:uid="{5B6DFD7C-7F4F-4D80-B46C-B01EA02E625E}"/>
    <cellStyle name="Normal 2 4 2 4 3 9" xfId="17328" xr:uid="{52DDE584-5C1D-4090-916B-22826280F8EB}"/>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73" xr:uid="{E45EE53D-BA23-4C0A-85EF-4D2B204B566F}"/>
    <cellStyle name="Normal 2 4 2 4 4 2 2 3" xfId="24101" xr:uid="{38934298-4902-4B77-A38C-6E0BE154154E}"/>
    <cellStyle name="Normal 2 4 2 4 4 2 3" xfId="11455" xr:uid="{7B1C18C3-6F75-4BC7-81DA-F943D284FAAB}"/>
    <cellStyle name="Normal 2 4 2 4 4 2 4" xfId="19884" xr:uid="{1193714E-BD9C-4C96-85C7-FAA654C03C4C}"/>
    <cellStyle name="Normal 2 4 2 4 4 3" xfId="5099" xr:uid="{00000000-0005-0000-0000-0000750F0000}"/>
    <cellStyle name="Normal 2 4 2 4 4 3 2" xfId="13528" xr:uid="{772D5FFE-9C46-4D8A-B590-0B301E47A569}"/>
    <cellStyle name="Normal 2 4 2 4 4 3 3" xfId="21956" xr:uid="{C92252A5-0457-433A-91AC-3DA6456FEF15}"/>
    <cellStyle name="Normal 2 4 2 4 4 4" xfId="9310" xr:uid="{69586E62-2BD1-4DD7-A800-4931AE1FADB1}"/>
    <cellStyle name="Normal 2 4 2 4 4 5" xfId="17739" xr:uid="{3B1702DE-689B-4B19-8497-863D05855D9D}"/>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86" xr:uid="{B32AF383-D26C-4BF5-96D0-DC88BA51D4AB}"/>
    <cellStyle name="Normal 2 4 2 4 5 2 2 3" xfId="24514" xr:uid="{20BEB576-AC0E-48D8-8D66-03A993C5C0B7}"/>
    <cellStyle name="Normal 2 4 2 4 5 2 3" xfId="11868" xr:uid="{DC8187CC-F85A-4C06-9F41-52696FC284B1}"/>
    <cellStyle name="Normal 2 4 2 4 5 2 4" xfId="20297" xr:uid="{EEBB5A65-75EE-42BB-89EB-73E4B7A2C181}"/>
    <cellStyle name="Normal 2 4 2 4 5 3" xfId="5512" xr:uid="{00000000-0005-0000-0000-0000790F0000}"/>
    <cellStyle name="Normal 2 4 2 4 5 3 2" xfId="13941" xr:uid="{3B058D83-DDE9-4F7A-8178-E6B7E699BD37}"/>
    <cellStyle name="Normal 2 4 2 4 5 3 3" xfId="22369" xr:uid="{FA9AD8E7-D077-4B6C-8C68-6A9716011A15}"/>
    <cellStyle name="Normal 2 4 2 4 5 4" xfId="9723" xr:uid="{4341288C-677D-4F86-A5ED-7AE3CBFD6FB9}"/>
    <cellStyle name="Normal 2 4 2 4 5 5" xfId="18152" xr:uid="{2801D8D5-C554-4B16-9F7B-6EEDCB7E8D19}"/>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9" xr:uid="{92C26277-813C-4AB7-ABC2-B3772A109BBA}"/>
    <cellStyle name="Normal 2 4 2 4 6 2 2 3" xfId="24927" xr:uid="{8DC6084F-AED4-490A-84C0-F1C3418A2BA2}"/>
    <cellStyle name="Normal 2 4 2 4 6 2 3" xfId="12281" xr:uid="{1919FD67-0E8D-4400-8D60-6BA08ABC96EE}"/>
    <cellStyle name="Normal 2 4 2 4 6 2 4" xfId="20710" xr:uid="{21191254-2715-4939-A80C-2D5A9C735BAD}"/>
    <cellStyle name="Normal 2 4 2 4 6 3" xfId="5925" xr:uid="{00000000-0005-0000-0000-00007D0F0000}"/>
    <cellStyle name="Normal 2 4 2 4 6 3 2" xfId="14354" xr:uid="{EF23220A-0A4B-45D0-ACD8-8EC746D2EF67}"/>
    <cellStyle name="Normal 2 4 2 4 6 3 3" xfId="22782" xr:uid="{429ECD42-1AFA-4F7F-91B5-AB73A58C2311}"/>
    <cellStyle name="Normal 2 4 2 4 6 4" xfId="10136" xr:uid="{9CE0A6B8-8A61-4958-9A9B-69D34795FE27}"/>
    <cellStyle name="Normal 2 4 2 4 6 5" xfId="18565" xr:uid="{9F92A1EC-71D2-4A6A-BE5C-62B0E060297E}"/>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12" xr:uid="{CE0132CB-66FA-46B3-99A7-763B8DF1161A}"/>
    <cellStyle name="Normal 2 4 2 4 7 2 2 3" xfId="25340" xr:uid="{7AC4444F-AD70-481D-B198-F4AA3C12AD83}"/>
    <cellStyle name="Normal 2 4 2 4 7 2 3" xfId="12694" xr:uid="{435AF8F4-81F5-4C25-868C-E25E4F9F51E9}"/>
    <cellStyle name="Normal 2 4 2 4 7 2 4" xfId="21123" xr:uid="{0E3EBC4C-5E9A-476D-9A34-72E80D6D506F}"/>
    <cellStyle name="Normal 2 4 2 4 7 3" xfId="6338" xr:uid="{00000000-0005-0000-0000-0000810F0000}"/>
    <cellStyle name="Normal 2 4 2 4 7 3 2" xfId="14767" xr:uid="{D9CC6D64-7BDB-4760-9EAB-FA1DE7D5020A}"/>
    <cellStyle name="Normal 2 4 2 4 7 3 3" xfId="23195" xr:uid="{DCB3320D-297A-47B0-9959-AF9839A67C91}"/>
    <cellStyle name="Normal 2 4 2 4 7 4" xfId="10549" xr:uid="{6AC4CA51-5119-42F1-A89A-E9E653AA6E93}"/>
    <cellStyle name="Normal 2 4 2 4 7 5" xfId="18978" xr:uid="{1464BF30-4274-4E85-A21E-2888786FA756}"/>
    <cellStyle name="Normal 2 4 2 4 8" xfId="2466" xr:uid="{00000000-0005-0000-0000-0000820F0000}"/>
    <cellStyle name="Normal 2 4 2 4 8 2" xfId="6751" xr:uid="{00000000-0005-0000-0000-0000830F0000}"/>
    <cellStyle name="Normal 2 4 2 4 8 2 2" xfId="15180" xr:uid="{0EEAA874-D1E2-4D0C-AA05-50223CE8D1A0}"/>
    <cellStyle name="Normal 2 4 2 4 8 2 3" xfId="23608" xr:uid="{ED32F421-1A7D-437C-B188-687FDFF50307}"/>
    <cellStyle name="Normal 2 4 2 4 8 3" xfId="10962" xr:uid="{88C3C509-1BA2-43C6-986D-0E7DA6D385A7}"/>
    <cellStyle name="Normal 2 4 2 4 8 4" xfId="19391" xr:uid="{EA19619E-70F0-4F0E-8F64-0D5F74B53464}"/>
    <cellStyle name="Normal 2 4 2 4 9" xfId="4685" xr:uid="{00000000-0005-0000-0000-0000840F0000}"/>
    <cellStyle name="Normal 2 4 2 4 9 2" xfId="13114" xr:uid="{C102DD26-2162-440B-8420-80D945375E1B}"/>
    <cellStyle name="Normal 2 4 2 4 9 3" xfId="21542" xr:uid="{876948C2-90F4-434E-8BFD-11C07C8C11B8}"/>
    <cellStyle name="Normal 2 4 2 5" xfId="293" xr:uid="{00000000-0005-0000-0000-0000850F0000}"/>
    <cellStyle name="Normal 2 4 2 5 10" xfId="17329" xr:uid="{1816F39A-5C95-49D3-8DDE-13E6872991CF}"/>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8" xr:uid="{1E4341D4-2D75-4B5B-8909-974B640CF8EF}"/>
    <cellStyle name="Normal 2 4 2 5 2 2 2 2 3" xfId="24106" xr:uid="{FC383B7C-BF40-4692-81C4-60105895993C}"/>
    <cellStyle name="Normal 2 4 2 5 2 2 2 3" xfId="11460" xr:uid="{C1C3AC83-4D4C-4271-9250-B35347076345}"/>
    <cellStyle name="Normal 2 4 2 5 2 2 2 4" xfId="19889" xr:uid="{C9FB36E0-8994-4A41-BEB6-CD80C315C430}"/>
    <cellStyle name="Normal 2 4 2 5 2 2 3" xfId="5104" xr:uid="{00000000-0005-0000-0000-00008A0F0000}"/>
    <cellStyle name="Normal 2 4 2 5 2 2 3 2" xfId="13533" xr:uid="{A3DD08F9-ACE7-4C92-88B9-30FD2A850FAA}"/>
    <cellStyle name="Normal 2 4 2 5 2 2 3 3" xfId="21961" xr:uid="{47374069-D89D-4872-ACAB-C8DB863D8F1B}"/>
    <cellStyle name="Normal 2 4 2 5 2 2 4" xfId="9315" xr:uid="{EC7B71D1-65E9-42AC-ABD9-7273675C565F}"/>
    <cellStyle name="Normal 2 4 2 5 2 2 5" xfId="17744" xr:uid="{FCA11EE4-2E3E-43DA-A1C2-BF1D363AE0AC}"/>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91" xr:uid="{1A61CE8E-2EF4-4141-9193-18BBD718E4BB}"/>
    <cellStyle name="Normal 2 4 2 5 2 3 2 2 3" xfId="24519" xr:uid="{C502BA36-A67E-494D-A006-E9A937EDD0C9}"/>
    <cellStyle name="Normal 2 4 2 5 2 3 2 3" xfId="11873" xr:uid="{5673A6B5-8F6E-43CB-AB14-5D39CB5FAA6D}"/>
    <cellStyle name="Normal 2 4 2 5 2 3 2 4" xfId="20302" xr:uid="{AFFE6B89-AE52-4484-B5C2-0B5414AA709B}"/>
    <cellStyle name="Normal 2 4 2 5 2 3 3" xfId="5517" xr:uid="{00000000-0005-0000-0000-00008E0F0000}"/>
    <cellStyle name="Normal 2 4 2 5 2 3 3 2" xfId="13946" xr:uid="{0BAF0E54-84EB-465D-9F1F-13FAB0FBC628}"/>
    <cellStyle name="Normal 2 4 2 5 2 3 3 3" xfId="22374" xr:uid="{08D86B73-AD5D-43D1-85EF-C7A59942AA0A}"/>
    <cellStyle name="Normal 2 4 2 5 2 3 4" xfId="9728" xr:uid="{EF5CA816-4B90-4872-A4F1-107AA5A40A38}"/>
    <cellStyle name="Normal 2 4 2 5 2 3 5" xfId="18157" xr:uid="{19BDF01E-304F-4C3B-8B4E-538648A92D18}"/>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504" xr:uid="{2F7AAF8C-814A-4FCB-82EA-6157360B6E9B}"/>
    <cellStyle name="Normal 2 4 2 5 2 4 2 2 3" xfId="24932" xr:uid="{1184B653-0EAF-42E1-B667-86055C9AB66D}"/>
    <cellStyle name="Normal 2 4 2 5 2 4 2 3" xfId="12286" xr:uid="{8FED765C-AD32-4128-99D7-AC3542115343}"/>
    <cellStyle name="Normal 2 4 2 5 2 4 2 4" xfId="20715" xr:uid="{736C5EA3-8563-4E42-B976-0CA657A36578}"/>
    <cellStyle name="Normal 2 4 2 5 2 4 3" xfId="5930" xr:uid="{00000000-0005-0000-0000-0000920F0000}"/>
    <cellStyle name="Normal 2 4 2 5 2 4 3 2" xfId="14359" xr:uid="{BC6CCA37-FCCE-4969-BCF1-0E742DCBA5DB}"/>
    <cellStyle name="Normal 2 4 2 5 2 4 3 3" xfId="22787" xr:uid="{50D5FE82-AB1F-4D1C-95BD-2DD04980DC31}"/>
    <cellStyle name="Normal 2 4 2 5 2 4 4" xfId="10141" xr:uid="{F8C5C744-ABDF-4CA9-A5A2-10F390CA3F7C}"/>
    <cellStyle name="Normal 2 4 2 5 2 4 5" xfId="18570" xr:uid="{4B46BF43-8A0D-4CD9-8D97-55E8BD12D30B}"/>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7" xr:uid="{E7816B45-2011-4E1D-9CE8-DBB9BAE1C860}"/>
    <cellStyle name="Normal 2 4 2 5 2 5 2 2 3" xfId="25345" xr:uid="{D64355FC-43A8-4F21-93D1-5AE6090DF8EF}"/>
    <cellStyle name="Normal 2 4 2 5 2 5 2 3" xfId="12699" xr:uid="{A2787E74-818B-4B99-9212-584A2E95E9D0}"/>
    <cellStyle name="Normal 2 4 2 5 2 5 2 4" xfId="21128" xr:uid="{28140423-A6AF-45ED-B64E-8BE260C60DD4}"/>
    <cellStyle name="Normal 2 4 2 5 2 5 3" xfId="6343" xr:uid="{00000000-0005-0000-0000-0000960F0000}"/>
    <cellStyle name="Normal 2 4 2 5 2 5 3 2" xfId="14772" xr:uid="{BBB4311D-2FF5-4D99-943E-975C6CD6D968}"/>
    <cellStyle name="Normal 2 4 2 5 2 5 3 3" xfId="23200" xr:uid="{74F0788B-5B70-4F64-902C-9DB5BCD6813D}"/>
    <cellStyle name="Normal 2 4 2 5 2 5 4" xfId="10554" xr:uid="{E3D2FAA3-63FC-4301-BC64-4FEA5C5E63BD}"/>
    <cellStyle name="Normal 2 4 2 5 2 5 5" xfId="18983" xr:uid="{9FAEA1A2-C84E-478C-B45D-5FD3B46BF666}"/>
    <cellStyle name="Normal 2 4 2 5 2 6" xfId="2471" xr:uid="{00000000-0005-0000-0000-0000970F0000}"/>
    <cellStyle name="Normal 2 4 2 5 2 6 2" xfId="6756" xr:uid="{00000000-0005-0000-0000-0000980F0000}"/>
    <cellStyle name="Normal 2 4 2 5 2 6 2 2" xfId="15185" xr:uid="{10D778A8-6D77-4277-9B64-9D2B64F17759}"/>
    <cellStyle name="Normal 2 4 2 5 2 6 2 3" xfId="23613" xr:uid="{E22EBCBF-26E7-457C-AB5D-F38D4D35BBE5}"/>
    <cellStyle name="Normal 2 4 2 5 2 6 3" xfId="10967" xr:uid="{4A7B64A6-EC8E-4879-8A99-14B3F0E96AE2}"/>
    <cellStyle name="Normal 2 4 2 5 2 6 4" xfId="19396" xr:uid="{BF99FDC0-8C49-45F0-A4B9-4872F81ED3DC}"/>
    <cellStyle name="Normal 2 4 2 5 2 7" xfId="4690" xr:uid="{00000000-0005-0000-0000-0000990F0000}"/>
    <cellStyle name="Normal 2 4 2 5 2 7 2" xfId="13119" xr:uid="{F73A1D08-851E-4137-8FCF-503F4FD7693C}"/>
    <cellStyle name="Normal 2 4 2 5 2 7 3" xfId="21547" xr:uid="{10EFE257-9A76-4F59-9E75-240550A24690}"/>
    <cellStyle name="Normal 2 4 2 5 2 8" xfId="8901" xr:uid="{08E7ED28-13C1-4B72-94CB-1A90EA3803F2}"/>
    <cellStyle name="Normal 2 4 2 5 2 9" xfId="17330" xr:uid="{77C73239-7A9B-4E09-9576-78817E212DBB}"/>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7" xr:uid="{D0BA3582-F61E-42FD-8AFB-8E17177449CA}"/>
    <cellStyle name="Normal 2 4 2 5 3 2 2 3" xfId="24105" xr:uid="{8A8F5821-7E7E-46FE-A2C8-B37CCF5AF467}"/>
    <cellStyle name="Normal 2 4 2 5 3 2 3" xfId="11459" xr:uid="{2027589C-0472-4C9D-9D1F-2C522BA2CA32}"/>
    <cellStyle name="Normal 2 4 2 5 3 2 4" xfId="19888" xr:uid="{8C8D5E65-8FC2-42F6-AED8-DB377EBF88D4}"/>
    <cellStyle name="Normal 2 4 2 5 3 3" xfId="5103" xr:uid="{00000000-0005-0000-0000-00009D0F0000}"/>
    <cellStyle name="Normal 2 4 2 5 3 3 2" xfId="13532" xr:uid="{FB333C17-5EA4-4AE0-80DA-E5BE47D2494B}"/>
    <cellStyle name="Normal 2 4 2 5 3 3 3" xfId="21960" xr:uid="{36957FF1-A466-48A7-9AFC-61626EC35F01}"/>
    <cellStyle name="Normal 2 4 2 5 3 4" xfId="9314" xr:uid="{243B8EE8-4F5C-4877-9119-B268337EFD0A}"/>
    <cellStyle name="Normal 2 4 2 5 3 5" xfId="17743" xr:uid="{E9EB865B-F8FF-45A8-A335-B1CBD74E31FB}"/>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90" xr:uid="{35850D3D-8A40-4A65-B2BF-E7D28C95720A}"/>
    <cellStyle name="Normal 2 4 2 5 4 2 2 3" xfId="24518" xr:uid="{6BB5C25A-3393-43AF-BADB-B24ECC15014C}"/>
    <cellStyle name="Normal 2 4 2 5 4 2 3" xfId="11872" xr:uid="{4C9CAD01-E252-441F-AF80-7B0A74BFD36B}"/>
    <cellStyle name="Normal 2 4 2 5 4 2 4" xfId="20301" xr:uid="{42A6D3B7-12A8-4648-9DDD-67B77EDC2B23}"/>
    <cellStyle name="Normal 2 4 2 5 4 3" xfId="5516" xr:uid="{00000000-0005-0000-0000-0000A10F0000}"/>
    <cellStyle name="Normal 2 4 2 5 4 3 2" xfId="13945" xr:uid="{C553D901-3B24-44B0-A237-E6057D0341F4}"/>
    <cellStyle name="Normal 2 4 2 5 4 3 3" xfId="22373" xr:uid="{62030393-69B8-4E53-9826-3E24E404737F}"/>
    <cellStyle name="Normal 2 4 2 5 4 4" xfId="9727" xr:uid="{EDB69C28-957A-420D-AB8E-F83BF400E16F}"/>
    <cellStyle name="Normal 2 4 2 5 4 5" xfId="18156" xr:uid="{BA680A3B-8660-4C90-A6E0-E9A196584C08}"/>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503" xr:uid="{1DB6E35D-6521-49B3-9D25-78022E66A603}"/>
    <cellStyle name="Normal 2 4 2 5 5 2 2 3" xfId="24931" xr:uid="{C79AFB50-A866-4A58-8CCE-50C9C9B58AA9}"/>
    <cellStyle name="Normal 2 4 2 5 5 2 3" xfId="12285" xr:uid="{45609DAC-06B3-4878-AAB0-9ABB3D91462D}"/>
    <cellStyle name="Normal 2 4 2 5 5 2 4" xfId="20714" xr:uid="{BD0784EE-7C5A-46FF-B2F6-7620A492EB93}"/>
    <cellStyle name="Normal 2 4 2 5 5 3" xfId="5929" xr:uid="{00000000-0005-0000-0000-0000A50F0000}"/>
    <cellStyle name="Normal 2 4 2 5 5 3 2" xfId="14358" xr:uid="{C8DF5C8A-B55C-4AF5-A4C7-8C0135C020D8}"/>
    <cellStyle name="Normal 2 4 2 5 5 3 3" xfId="22786" xr:uid="{54599F35-74D0-41C9-AF76-3444C6602B93}"/>
    <cellStyle name="Normal 2 4 2 5 5 4" xfId="10140" xr:uid="{3368CF89-2840-433F-8E20-18861EDF9BAB}"/>
    <cellStyle name="Normal 2 4 2 5 5 5" xfId="18569" xr:uid="{280F1CFD-6BA6-497F-9BA8-83D75DC4DF67}"/>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16" xr:uid="{0B9C309F-3545-4296-A830-B6810E6E4FCE}"/>
    <cellStyle name="Normal 2 4 2 5 6 2 2 3" xfId="25344" xr:uid="{8205410F-FB84-4EEC-8DE9-31ABCDEC67F5}"/>
    <cellStyle name="Normal 2 4 2 5 6 2 3" xfId="12698" xr:uid="{937D1974-305C-442C-A324-771B94C58E34}"/>
    <cellStyle name="Normal 2 4 2 5 6 2 4" xfId="21127" xr:uid="{37636107-0A5E-4EBB-8F2D-DE06CBFEF9B6}"/>
    <cellStyle name="Normal 2 4 2 5 6 3" xfId="6342" xr:uid="{00000000-0005-0000-0000-0000A90F0000}"/>
    <cellStyle name="Normal 2 4 2 5 6 3 2" xfId="14771" xr:uid="{897C1DF7-F8A1-4A2B-98FB-89596F9485B2}"/>
    <cellStyle name="Normal 2 4 2 5 6 3 3" xfId="23199" xr:uid="{21F4D208-A755-46A3-A848-131FAACD1467}"/>
    <cellStyle name="Normal 2 4 2 5 6 4" xfId="10553" xr:uid="{A41FF524-BEE1-414C-A21E-04376395309C}"/>
    <cellStyle name="Normal 2 4 2 5 6 5" xfId="18982" xr:uid="{18F107C6-1970-4479-9FD3-B418FF79EAEC}"/>
    <cellStyle name="Normal 2 4 2 5 7" xfId="2470" xr:uid="{00000000-0005-0000-0000-0000AA0F0000}"/>
    <cellStyle name="Normal 2 4 2 5 7 2" xfId="6755" xr:uid="{00000000-0005-0000-0000-0000AB0F0000}"/>
    <cellStyle name="Normal 2 4 2 5 7 2 2" xfId="15184" xr:uid="{C0F79838-190C-404C-A592-82685D888305}"/>
    <cellStyle name="Normal 2 4 2 5 7 2 3" xfId="23612" xr:uid="{6C26C622-49CC-409C-B644-7978BD4AFB2F}"/>
    <cellStyle name="Normal 2 4 2 5 7 3" xfId="10966" xr:uid="{72A8B922-5A46-4EAE-AA67-6A764356D496}"/>
    <cellStyle name="Normal 2 4 2 5 7 4" xfId="19395" xr:uid="{AC96C59F-66BA-4E66-B947-B78AD26C3917}"/>
    <cellStyle name="Normal 2 4 2 5 8" xfId="4689" xr:uid="{00000000-0005-0000-0000-0000AC0F0000}"/>
    <cellStyle name="Normal 2 4 2 5 8 2" xfId="13118" xr:uid="{42AF9D26-3A98-4839-936C-F2057AECDF08}"/>
    <cellStyle name="Normal 2 4 2 5 8 3" xfId="21546" xr:uid="{034A6C0D-52F1-47E7-A084-8E97EB58FE53}"/>
    <cellStyle name="Normal 2 4 2 5 9" xfId="8900" xr:uid="{73CA9571-C629-4DE8-A53F-A1BE1B9CAAA8}"/>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9" xr:uid="{8F1DBA88-20CD-4F95-88CA-D66D1A45A817}"/>
    <cellStyle name="Normal 2 4 2 6 2 2 2 3" xfId="24107" xr:uid="{8E21C7A4-1042-4ABE-9514-277C53A8D19C}"/>
    <cellStyle name="Normal 2 4 2 6 2 2 3" xfId="11461" xr:uid="{C1B7B8FF-1C59-423D-A538-2C5CCE5DEE50}"/>
    <cellStyle name="Normal 2 4 2 6 2 2 4" xfId="19890" xr:uid="{554B62F5-16B2-4F1B-9BC7-5662A6E11793}"/>
    <cellStyle name="Normal 2 4 2 6 2 3" xfId="5105" xr:uid="{00000000-0005-0000-0000-0000B10F0000}"/>
    <cellStyle name="Normal 2 4 2 6 2 3 2" xfId="13534" xr:uid="{BFB67D4C-BE25-437C-8609-35A5FA101A2B}"/>
    <cellStyle name="Normal 2 4 2 6 2 3 3" xfId="21962" xr:uid="{729DA38C-2F96-4FD7-BCE5-D28B10512A17}"/>
    <cellStyle name="Normal 2 4 2 6 2 4" xfId="9316" xr:uid="{8B93CC89-C48D-4A31-A4BF-9A2B91863DD4}"/>
    <cellStyle name="Normal 2 4 2 6 2 5" xfId="17745" xr:uid="{F7883E35-0EF8-4822-9123-F6B922EDDD13}"/>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92" xr:uid="{D4DB6970-B34B-4A14-A0BF-A70B29B0A183}"/>
    <cellStyle name="Normal 2 4 2 6 3 2 2 3" xfId="24520" xr:uid="{CBE8BA0F-8283-4E79-B78B-2BB651742E5C}"/>
    <cellStyle name="Normal 2 4 2 6 3 2 3" xfId="11874" xr:uid="{155F0758-BD00-4CB4-8BEB-9EC7F8193E19}"/>
    <cellStyle name="Normal 2 4 2 6 3 2 4" xfId="20303" xr:uid="{722893A3-1C56-4B1F-8C76-F16180213405}"/>
    <cellStyle name="Normal 2 4 2 6 3 3" xfId="5518" xr:uid="{00000000-0005-0000-0000-0000B50F0000}"/>
    <cellStyle name="Normal 2 4 2 6 3 3 2" xfId="13947" xr:uid="{127DE63E-3DF0-45B7-A8E4-962D36858DD8}"/>
    <cellStyle name="Normal 2 4 2 6 3 3 3" xfId="22375" xr:uid="{A5FF7CD0-C86B-4A0D-92CB-B3F0A39148B7}"/>
    <cellStyle name="Normal 2 4 2 6 3 4" xfId="9729" xr:uid="{2CAC0798-3391-4175-9941-49EADF1F0A2C}"/>
    <cellStyle name="Normal 2 4 2 6 3 5" xfId="18158" xr:uid="{1A67D9E5-6909-4CB0-8737-C463DD3109D6}"/>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505" xr:uid="{AC6A597A-A491-4A92-95FD-C493E24CD723}"/>
    <cellStyle name="Normal 2 4 2 6 4 2 2 3" xfId="24933" xr:uid="{E7E45CC5-5F26-42DD-8DCA-BCBC171710A4}"/>
    <cellStyle name="Normal 2 4 2 6 4 2 3" xfId="12287" xr:uid="{D653C70E-538F-4ACB-99B4-03938B235A1D}"/>
    <cellStyle name="Normal 2 4 2 6 4 2 4" xfId="20716" xr:uid="{6915EDDF-69BC-4E77-BB81-2B191014AB33}"/>
    <cellStyle name="Normal 2 4 2 6 4 3" xfId="5931" xr:uid="{00000000-0005-0000-0000-0000B90F0000}"/>
    <cellStyle name="Normal 2 4 2 6 4 3 2" xfId="14360" xr:uid="{E65225D1-5C2E-414E-9B2D-511833D1A564}"/>
    <cellStyle name="Normal 2 4 2 6 4 3 3" xfId="22788" xr:uid="{01576366-F767-429C-8199-A0BCBB633E90}"/>
    <cellStyle name="Normal 2 4 2 6 4 4" xfId="10142" xr:uid="{6CB942E0-822C-45E0-AC83-E9C0A13A2CB9}"/>
    <cellStyle name="Normal 2 4 2 6 4 5" xfId="18571" xr:uid="{FF8EBD3B-A6A1-4066-B208-C34B83F801BA}"/>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8" xr:uid="{69F8D638-7595-4A1C-8C0E-711EC8AFEED5}"/>
    <cellStyle name="Normal 2 4 2 6 5 2 2 3" xfId="25346" xr:uid="{992F880A-70DE-4A80-9803-24C4FE78BDE4}"/>
    <cellStyle name="Normal 2 4 2 6 5 2 3" xfId="12700" xr:uid="{23B44896-594E-4070-B032-28F530BEF786}"/>
    <cellStyle name="Normal 2 4 2 6 5 2 4" xfId="21129" xr:uid="{81CB6DB0-E304-4650-B7AB-D9F2C38393CA}"/>
    <cellStyle name="Normal 2 4 2 6 5 3" xfId="6344" xr:uid="{00000000-0005-0000-0000-0000BD0F0000}"/>
    <cellStyle name="Normal 2 4 2 6 5 3 2" xfId="14773" xr:uid="{52063932-C932-4E86-A838-C893F10FF90C}"/>
    <cellStyle name="Normal 2 4 2 6 5 3 3" xfId="23201" xr:uid="{1F8D4788-B68C-4F5A-83A4-40D81C506908}"/>
    <cellStyle name="Normal 2 4 2 6 5 4" xfId="10555" xr:uid="{C49DD786-7E22-4AD6-AB68-2D94B881880F}"/>
    <cellStyle name="Normal 2 4 2 6 5 5" xfId="18984" xr:uid="{8C31D93A-82EF-4DB7-8918-7E213B27576D}"/>
    <cellStyle name="Normal 2 4 2 6 6" xfId="2472" xr:uid="{00000000-0005-0000-0000-0000BE0F0000}"/>
    <cellStyle name="Normal 2 4 2 6 6 2" xfId="6757" xr:uid="{00000000-0005-0000-0000-0000BF0F0000}"/>
    <cellStyle name="Normal 2 4 2 6 6 2 2" xfId="15186" xr:uid="{036ADBBD-E783-42F6-9F2C-08EAB9D7D2F3}"/>
    <cellStyle name="Normal 2 4 2 6 6 2 3" xfId="23614" xr:uid="{D5BB82C8-BC20-47DC-B782-DE38B50B169D}"/>
    <cellStyle name="Normal 2 4 2 6 6 3" xfId="10968" xr:uid="{0C408ABF-0606-49F8-B038-7D3EEED24CC4}"/>
    <cellStyle name="Normal 2 4 2 6 6 4" xfId="19397" xr:uid="{491210C0-D992-45E5-A134-0297E80A45BE}"/>
    <cellStyle name="Normal 2 4 2 6 7" xfId="4691" xr:uid="{00000000-0005-0000-0000-0000C00F0000}"/>
    <cellStyle name="Normal 2 4 2 6 7 2" xfId="13120" xr:uid="{B7C59FB4-1C3B-4FF9-807B-AD28BE6B423B}"/>
    <cellStyle name="Normal 2 4 2 6 7 3" xfId="21548" xr:uid="{BE858924-C6B2-4BFE-9640-2B6ADB5C96C7}"/>
    <cellStyle name="Normal 2 4 2 6 8" xfId="8902" xr:uid="{32027634-C171-4E03-A15D-9A31F50907B1}"/>
    <cellStyle name="Normal 2 4 2 6 9" xfId="17331" xr:uid="{AEA275C5-5CD0-4754-AB3F-F22C1A234B40}"/>
    <cellStyle name="Normal 2 4 2 7" xfId="772" xr:uid="{00000000-0005-0000-0000-0000C10F0000}"/>
    <cellStyle name="Normal 2 4 2 7 2" xfId="3011" xr:uid="{00000000-0005-0000-0000-0000C20F0000}"/>
    <cellStyle name="Normal 2 4 2 7 2 2" xfId="7235" xr:uid="{00000000-0005-0000-0000-0000C30F0000}"/>
    <cellStyle name="Normal 2 4 2 7 2 2 2" xfId="15664" xr:uid="{46DBABE2-0617-4A4C-9C9D-EF50F1994749}"/>
    <cellStyle name="Normal 2 4 2 7 2 2 3" xfId="24092" xr:uid="{DBCD057A-2A39-42F4-ABAF-E067A64310E4}"/>
    <cellStyle name="Normal 2 4 2 7 2 3" xfId="11446" xr:uid="{4A951D2C-969D-4944-A426-458CA848C6DB}"/>
    <cellStyle name="Normal 2 4 2 7 2 4" xfId="19875" xr:uid="{EECF27EB-5FCD-4A45-BBE3-2C2928360B0D}"/>
    <cellStyle name="Normal 2 4 2 7 3" xfId="5090" xr:uid="{00000000-0005-0000-0000-0000C40F0000}"/>
    <cellStyle name="Normal 2 4 2 7 3 2" xfId="13519" xr:uid="{FDFE71BF-5CB5-465A-8346-76AEB829CB3E}"/>
    <cellStyle name="Normal 2 4 2 7 3 3" xfId="21947" xr:uid="{05C25766-7F57-47E9-8B09-F87F8FED3A7D}"/>
    <cellStyle name="Normal 2 4 2 7 4" xfId="9301" xr:uid="{DDE579F2-4CEB-4B02-A50C-04C551D4A473}"/>
    <cellStyle name="Normal 2 4 2 7 5" xfId="17730" xr:uid="{BE998AC5-827B-433D-A367-F7A15E426231}"/>
    <cellStyle name="Normal 2 4 2 8" xfId="1194" xr:uid="{00000000-0005-0000-0000-0000C50F0000}"/>
    <cellStyle name="Normal 2 4 2 8 2" xfId="3424" xr:uid="{00000000-0005-0000-0000-0000C60F0000}"/>
    <cellStyle name="Normal 2 4 2 8 2 2" xfId="7648" xr:uid="{00000000-0005-0000-0000-0000C70F0000}"/>
    <cellStyle name="Normal 2 4 2 8 2 2 2" xfId="16077" xr:uid="{5D00D667-C970-4DDE-8848-BA6120B67696}"/>
    <cellStyle name="Normal 2 4 2 8 2 2 3" xfId="24505" xr:uid="{B978E0AE-E924-4116-B085-43A6E4D06E63}"/>
    <cellStyle name="Normal 2 4 2 8 2 3" xfId="11859" xr:uid="{8B3606A7-B31A-40EA-81F3-428055B52893}"/>
    <cellStyle name="Normal 2 4 2 8 2 4" xfId="20288" xr:uid="{6674486B-5B79-4F32-8092-8350C932E012}"/>
    <cellStyle name="Normal 2 4 2 8 3" xfId="5503" xr:uid="{00000000-0005-0000-0000-0000C80F0000}"/>
    <cellStyle name="Normal 2 4 2 8 3 2" xfId="13932" xr:uid="{4B600FE4-3D31-453E-AD0E-1DF937D0A4EA}"/>
    <cellStyle name="Normal 2 4 2 8 3 3" xfId="22360" xr:uid="{F022964C-9438-474A-820A-A18F7DA8C025}"/>
    <cellStyle name="Normal 2 4 2 8 4" xfId="9714" xr:uid="{C8BF5388-C504-4E08-BCDA-327A0066B250}"/>
    <cellStyle name="Normal 2 4 2 8 5" xfId="18143" xr:uid="{4545ECCD-7404-46CA-BD66-470B80155946}"/>
    <cellStyle name="Normal 2 4 2 9" xfId="1607" xr:uid="{00000000-0005-0000-0000-0000C90F0000}"/>
    <cellStyle name="Normal 2 4 2 9 2" xfId="3837" xr:uid="{00000000-0005-0000-0000-0000CA0F0000}"/>
    <cellStyle name="Normal 2 4 2 9 2 2" xfId="8061" xr:uid="{00000000-0005-0000-0000-0000CB0F0000}"/>
    <cellStyle name="Normal 2 4 2 9 2 2 2" xfId="16490" xr:uid="{DAF4C3BD-E9C2-4E24-BDB4-8267A1D07B3B}"/>
    <cellStyle name="Normal 2 4 2 9 2 2 3" xfId="24918" xr:uid="{501C1616-1DFA-4E1A-ACF3-87D1E7E29D1B}"/>
    <cellStyle name="Normal 2 4 2 9 2 3" xfId="12272" xr:uid="{E1B1E198-AC6D-46CD-BB9E-71E0DE3A92FA}"/>
    <cellStyle name="Normal 2 4 2 9 2 4" xfId="20701" xr:uid="{DFEB6A73-4C5D-4618-BA4D-7F4FAABFCEA4}"/>
    <cellStyle name="Normal 2 4 2 9 3" xfId="5916" xr:uid="{00000000-0005-0000-0000-0000CC0F0000}"/>
    <cellStyle name="Normal 2 4 2 9 3 2" xfId="14345" xr:uid="{432FAC68-7B9E-4C73-99E8-B1B2AA1105F6}"/>
    <cellStyle name="Normal 2 4 2 9 3 3" xfId="22773" xr:uid="{35582B7C-AD1A-44A9-A722-E8D47C1D232A}"/>
    <cellStyle name="Normal 2 4 2 9 4" xfId="10127" xr:uid="{E3AB712C-91E6-4C62-9A73-003719BC5DD4}"/>
    <cellStyle name="Normal 2 4 2 9 5" xfId="18556" xr:uid="{6B3D70A8-6F83-4C6E-925D-CB2B3EFA2EC2}"/>
    <cellStyle name="Normal 2 4 3" xfId="296" xr:uid="{00000000-0005-0000-0000-0000CD0F0000}"/>
    <cellStyle name="Normal 2 4 3 10" xfId="8903" xr:uid="{8A67C816-1710-43BB-AA68-676CDF05DF2E}"/>
    <cellStyle name="Normal 2 4 3 11" xfId="17332" xr:uid="{ED0F79A3-4FD9-4275-B48B-966612ABC519}"/>
    <cellStyle name="Normal 2 4 3 2" xfId="297" xr:uid="{00000000-0005-0000-0000-0000CE0F0000}"/>
    <cellStyle name="Normal 2 4 3 3" xfId="298" xr:uid="{00000000-0005-0000-0000-0000CF0F0000}"/>
    <cellStyle name="Normal 2 4 3 3 10" xfId="8904" xr:uid="{B01B4DD8-8614-4F5A-A5A4-E2874174D163}"/>
    <cellStyle name="Normal 2 4 3 3 11" xfId="17333" xr:uid="{F9ADB1B8-DD7D-46E1-AD70-6559AD7375EF}"/>
    <cellStyle name="Normal 2 4 3 3 2" xfId="299" xr:uid="{00000000-0005-0000-0000-0000D00F0000}"/>
    <cellStyle name="Normal 2 4 3 3 2 10" xfId="17334" xr:uid="{24D51796-C016-4444-AAE7-76B5ACF3DEE4}"/>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83" xr:uid="{D10920CD-B364-4A03-BA45-BDF831EC2A0A}"/>
    <cellStyle name="Normal 2 4 3 3 2 2 2 2 2 3" xfId="24111" xr:uid="{5B769A7D-5831-4B49-AE3B-DDB414CFCFFE}"/>
    <cellStyle name="Normal 2 4 3 3 2 2 2 2 3" xfId="11465" xr:uid="{36339CA2-69A3-4E5B-9C9C-E8178438BECC}"/>
    <cellStyle name="Normal 2 4 3 3 2 2 2 2 4" xfId="19894" xr:uid="{F98ACA67-295E-4E0E-8895-5B7D542CF3EF}"/>
    <cellStyle name="Normal 2 4 3 3 2 2 2 3" xfId="5109" xr:uid="{00000000-0005-0000-0000-0000D50F0000}"/>
    <cellStyle name="Normal 2 4 3 3 2 2 2 3 2" xfId="13538" xr:uid="{74F03D62-9A93-4C36-89C1-26CA244DA647}"/>
    <cellStyle name="Normal 2 4 3 3 2 2 2 3 3" xfId="21966" xr:uid="{FB9E103B-2A2C-4E20-B50B-4CE0CF8DDDC3}"/>
    <cellStyle name="Normal 2 4 3 3 2 2 2 4" xfId="9320" xr:uid="{71395FA1-7E4B-45CB-9940-C4D6D02DF636}"/>
    <cellStyle name="Normal 2 4 3 3 2 2 2 5" xfId="17749" xr:uid="{981E41AB-F787-4AB0-BA28-76D70CD48997}"/>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96" xr:uid="{FAF10F64-F39C-4B67-944B-32D0EDFFC562}"/>
    <cellStyle name="Normal 2 4 3 3 2 2 3 2 2 3" xfId="24524" xr:uid="{A097C737-9C47-48B1-A077-AA999B0D622A}"/>
    <cellStyle name="Normal 2 4 3 3 2 2 3 2 3" xfId="11878" xr:uid="{8B2E9B96-B87F-42D7-84BF-EA21A99DC040}"/>
    <cellStyle name="Normal 2 4 3 3 2 2 3 2 4" xfId="20307" xr:uid="{6A314543-22F1-4F1A-A59B-055D9A73C9F0}"/>
    <cellStyle name="Normal 2 4 3 3 2 2 3 3" xfId="5522" xr:uid="{00000000-0005-0000-0000-0000D90F0000}"/>
    <cellStyle name="Normal 2 4 3 3 2 2 3 3 2" xfId="13951" xr:uid="{7472350F-25F4-4BD9-83F1-34FA26F2A1B1}"/>
    <cellStyle name="Normal 2 4 3 3 2 2 3 3 3" xfId="22379" xr:uid="{F265189A-649B-4D58-91C6-C77F3ADFB05F}"/>
    <cellStyle name="Normal 2 4 3 3 2 2 3 4" xfId="9733" xr:uid="{5CC7F613-A265-49FD-A1D7-86487FE70C8E}"/>
    <cellStyle name="Normal 2 4 3 3 2 2 3 5" xfId="18162" xr:uid="{6162F27D-B894-4BE1-B5D1-4CA73244B05F}"/>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9" xr:uid="{71B2433F-F7D0-42C5-90CE-668981ED53A5}"/>
    <cellStyle name="Normal 2 4 3 3 2 2 4 2 2 3" xfId="24937" xr:uid="{E0500DBC-193C-453B-9C3E-8E3A18C60356}"/>
    <cellStyle name="Normal 2 4 3 3 2 2 4 2 3" xfId="12291" xr:uid="{EC08014F-539A-49AF-A203-9EB04A2D6795}"/>
    <cellStyle name="Normal 2 4 3 3 2 2 4 2 4" xfId="20720" xr:uid="{DEE82CA8-0486-4FFD-B7F0-B9B16B31483E}"/>
    <cellStyle name="Normal 2 4 3 3 2 2 4 3" xfId="5935" xr:uid="{00000000-0005-0000-0000-0000DD0F0000}"/>
    <cellStyle name="Normal 2 4 3 3 2 2 4 3 2" xfId="14364" xr:uid="{B75CB77B-70DB-45A4-9E73-298ADE7A56D2}"/>
    <cellStyle name="Normal 2 4 3 3 2 2 4 3 3" xfId="22792" xr:uid="{6E7DC9D0-7293-4767-83A8-8A8A6A0A5732}"/>
    <cellStyle name="Normal 2 4 3 3 2 2 4 4" xfId="10146" xr:uid="{8AEF21A8-A0DD-45CA-8122-995FE74A8360}"/>
    <cellStyle name="Normal 2 4 3 3 2 2 4 5" xfId="18575" xr:uid="{6202E5F0-747A-48DD-86B9-892A719C16D7}"/>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22" xr:uid="{3BB866D3-5D41-4C07-9ADF-6D0473444E78}"/>
    <cellStyle name="Normal 2 4 3 3 2 2 5 2 2 3" xfId="25350" xr:uid="{C5EBED78-C58E-4470-8DAF-B39B5A9876FA}"/>
    <cellStyle name="Normal 2 4 3 3 2 2 5 2 3" xfId="12704" xr:uid="{4B4E2706-C163-4072-8F1F-B3F326BE5580}"/>
    <cellStyle name="Normal 2 4 3 3 2 2 5 2 4" xfId="21133" xr:uid="{5ED26C0A-A442-4E5C-9116-FBD1E37ED3B7}"/>
    <cellStyle name="Normal 2 4 3 3 2 2 5 3" xfId="6348" xr:uid="{00000000-0005-0000-0000-0000E10F0000}"/>
    <cellStyle name="Normal 2 4 3 3 2 2 5 3 2" xfId="14777" xr:uid="{C331FE05-3765-421E-A13D-08DCE4501162}"/>
    <cellStyle name="Normal 2 4 3 3 2 2 5 3 3" xfId="23205" xr:uid="{DCCAA4D7-4884-46E7-9DA7-B84A8E4D970A}"/>
    <cellStyle name="Normal 2 4 3 3 2 2 5 4" xfId="10559" xr:uid="{4C5E5BAC-E3C4-4823-A2C2-387242C8F678}"/>
    <cellStyle name="Normal 2 4 3 3 2 2 5 5" xfId="18988" xr:uid="{DFCD04E1-D08D-49F7-8C60-0631975B086D}"/>
    <cellStyle name="Normal 2 4 3 3 2 2 6" xfId="2476" xr:uid="{00000000-0005-0000-0000-0000E20F0000}"/>
    <cellStyle name="Normal 2 4 3 3 2 2 6 2" xfId="6761" xr:uid="{00000000-0005-0000-0000-0000E30F0000}"/>
    <cellStyle name="Normal 2 4 3 3 2 2 6 2 2" xfId="15190" xr:uid="{60D6850F-B43E-46EF-91CA-0BDB96EFF645}"/>
    <cellStyle name="Normal 2 4 3 3 2 2 6 2 3" xfId="23618" xr:uid="{DD78A06D-916A-4A69-93C7-F1BE4757FE42}"/>
    <cellStyle name="Normal 2 4 3 3 2 2 6 3" xfId="10972" xr:uid="{A6EEE0C6-B10C-450E-8B9F-7E9C46DF76B8}"/>
    <cellStyle name="Normal 2 4 3 3 2 2 6 4" xfId="19401" xr:uid="{BA16C414-F62C-4CE6-B926-5A6D596FA3A1}"/>
    <cellStyle name="Normal 2 4 3 3 2 2 7" xfId="4695" xr:uid="{00000000-0005-0000-0000-0000E40F0000}"/>
    <cellStyle name="Normal 2 4 3 3 2 2 7 2" xfId="13124" xr:uid="{45720AB5-5C7B-4C22-9326-4D4FC990F4A6}"/>
    <cellStyle name="Normal 2 4 3 3 2 2 7 3" xfId="21552" xr:uid="{1BFA09F6-23FA-476B-B82A-2E436CA8CB3A}"/>
    <cellStyle name="Normal 2 4 3 3 2 2 8" xfId="8906" xr:uid="{C9F4F82B-1B30-48B0-9B56-1F4DC9617752}"/>
    <cellStyle name="Normal 2 4 3 3 2 2 9" xfId="17335" xr:uid="{E836AAFD-15DE-4A55-A086-C55AC93B23DA}"/>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82" xr:uid="{0FD2F738-76A7-4A9B-A1DE-9E2AE10A6CA3}"/>
    <cellStyle name="Normal 2 4 3 3 2 3 2 2 3" xfId="24110" xr:uid="{0B138BF0-25FF-40D5-8F24-69F9195BD229}"/>
    <cellStyle name="Normal 2 4 3 3 2 3 2 3" xfId="11464" xr:uid="{4F2D790D-64E6-4E1E-B146-4CAD82486F5C}"/>
    <cellStyle name="Normal 2 4 3 3 2 3 2 4" xfId="19893" xr:uid="{A85506D2-3BC2-40F7-BC5D-57256E156F97}"/>
    <cellStyle name="Normal 2 4 3 3 2 3 3" xfId="5108" xr:uid="{00000000-0005-0000-0000-0000E80F0000}"/>
    <cellStyle name="Normal 2 4 3 3 2 3 3 2" xfId="13537" xr:uid="{9CDDDFEC-3E7F-4844-9C9B-89F98489B839}"/>
    <cellStyle name="Normal 2 4 3 3 2 3 3 3" xfId="21965" xr:uid="{E046CC91-FAB8-4CA8-B2B4-9D81E84B948B}"/>
    <cellStyle name="Normal 2 4 3 3 2 3 4" xfId="9319" xr:uid="{98C30F05-1551-472D-B2AD-DDDB81463093}"/>
    <cellStyle name="Normal 2 4 3 3 2 3 5" xfId="17748" xr:uid="{3D6CC40D-BCD1-4C0A-B4C2-DBA836FE5837}"/>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95" xr:uid="{C2245CB7-44E5-47DB-8B91-CB78386C51E4}"/>
    <cellStyle name="Normal 2 4 3 3 2 4 2 2 3" xfId="24523" xr:uid="{44B98638-4657-410D-B6DC-C4CD0F0335DA}"/>
    <cellStyle name="Normal 2 4 3 3 2 4 2 3" xfId="11877" xr:uid="{3B3AC237-1184-4954-8531-298DED42DCD2}"/>
    <cellStyle name="Normal 2 4 3 3 2 4 2 4" xfId="20306" xr:uid="{2AF4E0DA-BC70-49ED-89D8-8E217B562B0D}"/>
    <cellStyle name="Normal 2 4 3 3 2 4 3" xfId="5521" xr:uid="{00000000-0005-0000-0000-0000EC0F0000}"/>
    <cellStyle name="Normal 2 4 3 3 2 4 3 2" xfId="13950" xr:uid="{1CD901A5-2A88-4159-B512-C994E1304F01}"/>
    <cellStyle name="Normal 2 4 3 3 2 4 3 3" xfId="22378" xr:uid="{ECCD777D-B143-41D0-A98B-D5B56F8D5F3E}"/>
    <cellStyle name="Normal 2 4 3 3 2 4 4" xfId="9732" xr:uid="{5AE14C15-5223-4A80-ABEC-A5C1F35F62EA}"/>
    <cellStyle name="Normal 2 4 3 3 2 4 5" xfId="18161" xr:uid="{721B1FFE-145D-455F-8D57-E2A8622A50A1}"/>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8" xr:uid="{4C90708C-791E-42F4-929A-742E91225914}"/>
    <cellStyle name="Normal 2 4 3 3 2 5 2 2 3" xfId="24936" xr:uid="{A9F9AA30-1785-4BBF-ACA7-FFE4F63AC574}"/>
    <cellStyle name="Normal 2 4 3 3 2 5 2 3" xfId="12290" xr:uid="{A5C5A566-88CB-4E81-A087-9025FCE28B7C}"/>
    <cellStyle name="Normal 2 4 3 3 2 5 2 4" xfId="20719" xr:uid="{BA850D6E-D7F2-4F0A-9C88-64C6E73296A3}"/>
    <cellStyle name="Normal 2 4 3 3 2 5 3" xfId="5934" xr:uid="{00000000-0005-0000-0000-0000F00F0000}"/>
    <cellStyle name="Normal 2 4 3 3 2 5 3 2" xfId="14363" xr:uid="{0E11E4E7-07CB-47D1-8D5F-EE1B8868BC4F}"/>
    <cellStyle name="Normal 2 4 3 3 2 5 3 3" xfId="22791" xr:uid="{93EBE761-F238-4D8B-9158-31F851A8DEF0}"/>
    <cellStyle name="Normal 2 4 3 3 2 5 4" xfId="10145" xr:uid="{235F5FAB-0905-4887-9493-5A55CEE59502}"/>
    <cellStyle name="Normal 2 4 3 3 2 5 5" xfId="18574" xr:uid="{56236D19-6ED7-4C1C-A6BD-336297D7CCB6}"/>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21" xr:uid="{6DD31C51-8A75-4B35-A983-585F666090DC}"/>
    <cellStyle name="Normal 2 4 3 3 2 6 2 2 3" xfId="25349" xr:uid="{6A91165C-BF2F-4142-9466-4ADBDF783E72}"/>
    <cellStyle name="Normal 2 4 3 3 2 6 2 3" xfId="12703" xr:uid="{72BE1AB0-FD10-41AB-BA62-9EA490629352}"/>
    <cellStyle name="Normal 2 4 3 3 2 6 2 4" xfId="21132" xr:uid="{C12FA3A5-98F5-4BF4-A9FC-CB3C515CAB2F}"/>
    <cellStyle name="Normal 2 4 3 3 2 6 3" xfId="6347" xr:uid="{00000000-0005-0000-0000-0000F40F0000}"/>
    <cellStyle name="Normal 2 4 3 3 2 6 3 2" xfId="14776" xr:uid="{C5F9DBBF-F430-4149-92C5-ECD32E43F320}"/>
    <cellStyle name="Normal 2 4 3 3 2 6 3 3" xfId="23204" xr:uid="{60F1C8F1-F18F-4FE9-A41F-267E137366F3}"/>
    <cellStyle name="Normal 2 4 3 3 2 6 4" xfId="10558" xr:uid="{E7B8333C-2BD3-4211-B6D4-9E9778ADA612}"/>
    <cellStyle name="Normal 2 4 3 3 2 6 5" xfId="18987" xr:uid="{ED2D9932-5132-4375-91E7-B52A86D65A6E}"/>
    <cellStyle name="Normal 2 4 3 3 2 7" xfId="2475" xr:uid="{00000000-0005-0000-0000-0000F50F0000}"/>
    <cellStyle name="Normal 2 4 3 3 2 7 2" xfId="6760" xr:uid="{00000000-0005-0000-0000-0000F60F0000}"/>
    <cellStyle name="Normal 2 4 3 3 2 7 2 2" xfId="15189" xr:uid="{6B072090-3CFD-4168-A0A7-64DAF9578100}"/>
    <cellStyle name="Normal 2 4 3 3 2 7 2 3" xfId="23617" xr:uid="{C84C8974-5FB9-49A9-BDE1-00BD7D090EF2}"/>
    <cellStyle name="Normal 2 4 3 3 2 7 3" xfId="10971" xr:uid="{97F0A0DD-0C6F-4F2D-A1DB-071832BB8FC2}"/>
    <cellStyle name="Normal 2 4 3 3 2 7 4" xfId="19400" xr:uid="{E89E047F-2025-42A6-AC6A-CBAB85030A4C}"/>
    <cellStyle name="Normal 2 4 3 3 2 8" xfId="4694" xr:uid="{00000000-0005-0000-0000-0000F70F0000}"/>
    <cellStyle name="Normal 2 4 3 3 2 8 2" xfId="13123" xr:uid="{D48CEA7A-1940-4C37-8666-4C167F6FB27E}"/>
    <cellStyle name="Normal 2 4 3 3 2 8 3" xfId="21551" xr:uid="{E4982921-59C8-4C18-80A8-A9DDDB54C810}"/>
    <cellStyle name="Normal 2 4 3 3 2 9" xfId="8905" xr:uid="{6670F7F9-1ED6-4E7A-AA73-9B3E308E70BB}"/>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84" xr:uid="{46BB48E4-F8A7-4FE6-AFED-C00A36203914}"/>
    <cellStyle name="Normal 2 4 3 3 3 2 2 2 3" xfId="24112" xr:uid="{84B1265E-A9FA-4D27-BA56-B3113E71B5E7}"/>
    <cellStyle name="Normal 2 4 3 3 3 2 2 3" xfId="11466" xr:uid="{D1988A90-533D-4F24-AE8A-4D1D3142A560}"/>
    <cellStyle name="Normal 2 4 3 3 3 2 2 4" xfId="19895" xr:uid="{89A28A82-6CD4-4C62-BB4C-AC16FD74A5F5}"/>
    <cellStyle name="Normal 2 4 3 3 3 2 3" xfId="5110" xr:uid="{00000000-0005-0000-0000-0000FC0F0000}"/>
    <cellStyle name="Normal 2 4 3 3 3 2 3 2" xfId="13539" xr:uid="{1AC5B75C-961C-4922-A3EC-1B983E2E3785}"/>
    <cellStyle name="Normal 2 4 3 3 3 2 3 3" xfId="21967" xr:uid="{3C381F8B-CCEB-4DAA-B628-4F9A59D13B6A}"/>
    <cellStyle name="Normal 2 4 3 3 3 2 4" xfId="9321" xr:uid="{4C947E08-AE2C-4538-A994-CD5B2C678BEA}"/>
    <cellStyle name="Normal 2 4 3 3 3 2 5" xfId="17750" xr:uid="{C1ECA6D2-B6BA-4714-9C7F-A09612E78BF4}"/>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7" xr:uid="{A0ECA0E0-B0A7-4951-816E-C73D155605F9}"/>
    <cellStyle name="Normal 2 4 3 3 3 3 2 2 3" xfId="24525" xr:uid="{24DA8191-298F-4DAB-B7BA-80A3EE4BE00E}"/>
    <cellStyle name="Normal 2 4 3 3 3 3 2 3" xfId="11879" xr:uid="{6A724CD4-0136-42EF-ABD4-2D061DAAE364}"/>
    <cellStyle name="Normal 2 4 3 3 3 3 2 4" xfId="20308" xr:uid="{970BB554-5F68-4D3B-A08A-3DFA35517057}"/>
    <cellStyle name="Normal 2 4 3 3 3 3 3" xfId="5523" xr:uid="{00000000-0005-0000-0000-000000100000}"/>
    <cellStyle name="Normal 2 4 3 3 3 3 3 2" xfId="13952" xr:uid="{B37C6EA4-4E9A-4D8F-A243-DEA5675E8CA3}"/>
    <cellStyle name="Normal 2 4 3 3 3 3 3 3" xfId="22380" xr:uid="{A5BE9C59-52AD-4649-8565-EF0A82200E43}"/>
    <cellStyle name="Normal 2 4 3 3 3 3 4" xfId="9734" xr:uid="{B086D251-3234-49B6-8EBC-BA93751F0365}"/>
    <cellStyle name="Normal 2 4 3 3 3 3 5" xfId="18163" xr:uid="{3E7AD564-FA12-48BA-A531-C78DE8C9A69B}"/>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10" xr:uid="{CE515F23-0AF0-4B2E-AB51-3948024D9F38}"/>
    <cellStyle name="Normal 2 4 3 3 3 4 2 2 3" xfId="24938" xr:uid="{EB466168-4F00-45FF-B534-FA07EA2F5FFD}"/>
    <cellStyle name="Normal 2 4 3 3 3 4 2 3" xfId="12292" xr:uid="{FD1895E5-8D2D-42CC-A0BB-FDDDAB6710AA}"/>
    <cellStyle name="Normal 2 4 3 3 3 4 2 4" xfId="20721" xr:uid="{D7FE8E83-3CEA-4A65-AE41-21B678A29082}"/>
    <cellStyle name="Normal 2 4 3 3 3 4 3" xfId="5936" xr:uid="{00000000-0005-0000-0000-000004100000}"/>
    <cellStyle name="Normal 2 4 3 3 3 4 3 2" xfId="14365" xr:uid="{AAC8EC2D-9FFF-42D7-81FC-B2AA26FC7A41}"/>
    <cellStyle name="Normal 2 4 3 3 3 4 3 3" xfId="22793" xr:uid="{33C6D911-E51C-470B-AFA0-D4957F8D7EE7}"/>
    <cellStyle name="Normal 2 4 3 3 3 4 4" xfId="10147" xr:uid="{49010CCA-29C4-4FC3-9B9C-100D28D01817}"/>
    <cellStyle name="Normal 2 4 3 3 3 4 5" xfId="18576" xr:uid="{35AFB6BF-F2C3-429B-9B5E-7708BAFC59C2}"/>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23" xr:uid="{34A9EE1F-29EB-4C63-BFB8-2D197624D2A6}"/>
    <cellStyle name="Normal 2 4 3 3 3 5 2 2 3" xfId="25351" xr:uid="{5E414480-9012-4A3E-A750-C55D9E921A0F}"/>
    <cellStyle name="Normal 2 4 3 3 3 5 2 3" xfId="12705" xr:uid="{2CBAD4C2-1B13-4EFA-8147-4ECF54DA66C9}"/>
    <cellStyle name="Normal 2 4 3 3 3 5 2 4" xfId="21134" xr:uid="{0B8A34DA-13C0-43DE-9BD0-08D0E3A2459C}"/>
    <cellStyle name="Normal 2 4 3 3 3 5 3" xfId="6349" xr:uid="{00000000-0005-0000-0000-000008100000}"/>
    <cellStyle name="Normal 2 4 3 3 3 5 3 2" xfId="14778" xr:uid="{FDC50795-3BB8-488F-A45B-C24D2646BE28}"/>
    <cellStyle name="Normal 2 4 3 3 3 5 3 3" xfId="23206" xr:uid="{3D4410B3-76C8-41BF-AAF2-E8F9AD01641F}"/>
    <cellStyle name="Normal 2 4 3 3 3 5 4" xfId="10560" xr:uid="{EC8A9DB5-C91D-4EF3-96A9-E0BF626736AA}"/>
    <cellStyle name="Normal 2 4 3 3 3 5 5" xfId="18989" xr:uid="{44D4EBCC-BA45-4231-ADA2-BE351E59F4C9}"/>
    <cellStyle name="Normal 2 4 3 3 3 6" xfId="2477" xr:uid="{00000000-0005-0000-0000-000009100000}"/>
    <cellStyle name="Normal 2 4 3 3 3 6 2" xfId="6762" xr:uid="{00000000-0005-0000-0000-00000A100000}"/>
    <cellStyle name="Normal 2 4 3 3 3 6 2 2" xfId="15191" xr:uid="{93E70440-9C7B-44E7-86B1-6A27F899F03A}"/>
    <cellStyle name="Normal 2 4 3 3 3 6 2 3" xfId="23619" xr:uid="{BD0F9BDE-8DBA-4100-9FE3-A604C95C22D1}"/>
    <cellStyle name="Normal 2 4 3 3 3 6 3" xfId="10973" xr:uid="{9329506D-6CBE-4C21-9165-768FF9E54023}"/>
    <cellStyle name="Normal 2 4 3 3 3 6 4" xfId="19402" xr:uid="{4270EF0D-C3E8-43C2-9836-AF8599CB3F17}"/>
    <cellStyle name="Normal 2 4 3 3 3 7" xfId="4696" xr:uid="{00000000-0005-0000-0000-00000B100000}"/>
    <cellStyle name="Normal 2 4 3 3 3 7 2" xfId="13125" xr:uid="{49DBEC8B-B8C8-4D5E-99BE-323284B7F425}"/>
    <cellStyle name="Normal 2 4 3 3 3 7 3" xfId="21553" xr:uid="{163175F3-E09E-4DA2-A03C-FA0B5A06D6C1}"/>
    <cellStyle name="Normal 2 4 3 3 3 8" xfId="8907" xr:uid="{F962640D-D7C2-49BA-B7B7-429DA3EF7515}"/>
    <cellStyle name="Normal 2 4 3 3 3 9" xfId="17336" xr:uid="{CBCF7829-8FDB-4DF8-A6F7-E8DB34E5D5BD}"/>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81" xr:uid="{8668635D-185C-4658-81F7-1644605DD308}"/>
    <cellStyle name="Normal 2 4 3 3 4 2 2 3" xfId="24109" xr:uid="{39BC97BC-CD21-4A5D-A912-E9074C823136}"/>
    <cellStyle name="Normal 2 4 3 3 4 2 3" xfId="11463" xr:uid="{0B23E613-CFCA-4150-BEDF-87384AB60559}"/>
    <cellStyle name="Normal 2 4 3 3 4 2 4" xfId="19892" xr:uid="{C7F284BE-4091-4593-BB4E-667A465AFE45}"/>
    <cellStyle name="Normal 2 4 3 3 4 3" xfId="5107" xr:uid="{00000000-0005-0000-0000-00000F100000}"/>
    <cellStyle name="Normal 2 4 3 3 4 3 2" xfId="13536" xr:uid="{C82B8D78-B734-4D87-B32B-B4D20139ACA6}"/>
    <cellStyle name="Normal 2 4 3 3 4 3 3" xfId="21964" xr:uid="{BA1D0453-44E5-467E-AB54-36A351B72F51}"/>
    <cellStyle name="Normal 2 4 3 3 4 4" xfId="9318" xr:uid="{83B35863-EDCE-4599-A4AA-488967193270}"/>
    <cellStyle name="Normal 2 4 3 3 4 5" xfId="17747" xr:uid="{6BBA85F9-76EF-4986-A5BC-347A5F6FDD12}"/>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94" xr:uid="{F0DE880C-20A7-4678-A260-AC26056BDBD8}"/>
    <cellStyle name="Normal 2 4 3 3 5 2 2 3" xfId="24522" xr:uid="{6448F136-B48E-4FF2-8B48-51EBC06D091D}"/>
    <cellStyle name="Normal 2 4 3 3 5 2 3" xfId="11876" xr:uid="{43968487-9B83-497C-81C5-CF27B7D5A7E5}"/>
    <cellStyle name="Normal 2 4 3 3 5 2 4" xfId="20305" xr:uid="{F14EEB92-4051-4E67-9F2F-C336D562F8E2}"/>
    <cellStyle name="Normal 2 4 3 3 5 3" xfId="5520" xr:uid="{00000000-0005-0000-0000-000013100000}"/>
    <cellStyle name="Normal 2 4 3 3 5 3 2" xfId="13949" xr:uid="{6B3DB246-6D35-48EC-A534-544A9E7E163F}"/>
    <cellStyle name="Normal 2 4 3 3 5 3 3" xfId="22377" xr:uid="{73FE529D-F7C4-47F0-ABA7-0C76858C52CB}"/>
    <cellStyle name="Normal 2 4 3 3 5 4" xfId="9731" xr:uid="{8204F719-6C8E-4B22-8C22-6FBEAC82CF58}"/>
    <cellStyle name="Normal 2 4 3 3 5 5" xfId="18160" xr:uid="{796C4872-99A1-452F-BC6E-2AEE31B3751E}"/>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7" xr:uid="{7598E0CC-753C-4E1B-B97C-17BC147B037A}"/>
    <cellStyle name="Normal 2 4 3 3 6 2 2 3" xfId="24935" xr:uid="{BA8D6779-BBC4-4711-B9BB-916806EDBAA7}"/>
    <cellStyle name="Normal 2 4 3 3 6 2 3" xfId="12289" xr:uid="{E2AD0DF5-04C6-4970-81EC-41C0EFBEDE63}"/>
    <cellStyle name="Normal 2 4 3 3 6 2 4" xfId="20718" xr:uid="{3A08F344-709E-4A0F-9E8B-33799000DC18}"/>
    <cellStyle name="Normal 2 4 3 3 6 3" xfId="5933" xr:uid="{00000000-0005-0000-0000-000017100000}"/>
    <cellStyle name="Normal 2 4 3 3 6 3 2" xfId="14362" xr:uid="{98C637F8-AFA6-42F1-AA65-820705826F15}"/>
    <cellStyle name="Normal 2 4 3 3 6 3 3" xfId="22790" xr:uid="{3CDCD9E3-7575-4C7C-8B22-4EF5207FC395}"/>
    <cellStyle name="Normal 2 4 3 3 6 4" xfId="10144" xr:uid="{83ED784E-0634-4553-99C0-79CED5E83FEC}"/>
    <cellStyle name="Normal 2 4 3 3 6 5" xfId="18573" xr:uid="{E59443F2-979A-4C04-A6E9-6F056876819C}"/>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20" xr:uid="{3D21DFB1-6F93-479C-AA23-5F4C95A08EB5}"/>
    <cellStyle name="Normal 2 4 3 3 7 2 2 3" xfId="25348" xr:uid="{89632274-16BC-4938-8065-8CD7B787E412}"/>
    <cellStyle name="Normal 2 4 3 3 7 2 3" xfId="12702" xr:uid="{238FFDD5-071F-4CBE-9BB1-522581B93CAD}"/>
    <cellStyle name="Normal 2 4 3 3 7 2 4" xfId="21131" xr:uid="{C94438B0-8A43-4A19-A149-A9E56D744571}"/>
    <cellStyle name="Normal 2 4 3 3 7 3" xfId="6346" xr:uid="{00000000-0005-0000-0000-00001B100000}"/>
    <cellStyle name="Normal 2 4 3 3 7 3 2" xfId="14775" xr:uid="{E5EFE5E8-569D-4FE1-BAD9-0ECBB684F533}"/>
    <cellStyle name="Normal 2 4 3 3 7 3 3" xfId="23203" xr:uid="{D51F19CB-92B8-45C1-878C-E657F79B11EC}"/>
    <cellStyle name="Normal 2 4 3 3 7 4" xfId="10557" xr:uid="{9817BF2D-2CAD-46C0-88A8-78209933EB5B}"/>
    <cellStyle name="Normal 2 4 3 3 7 5" xfId="18986" xr:uid="{B010569F-3EF0-4BE4-AEA0-DB5E93F69486}"/>
    <cellStyle name="Normal 2 4 3 3 8" xfId="2474" xr:uid="{00000000-0005-0000-0000-00001C100000}"/>
    <cellStyle name="Normal 2 4 3 3 8 2" xfId="6759" xr:uid="{00000000-0005-0000-0000-00001D100000}"/>
    <cellStyle name="Normal 2 4 3 3 8 2 2" xfId="15188" xr:uid="{31D5B3FB-C75F-4BFC-A4CC-BAF6E2166423}"/>
    <cellStyle name="Normal 2 4 3 3 8 2 3" xfId="23616" xr:uid="{216CE383-45BC-4FB5-8CFA-0C58056AE10B}"/>
    <cellStyle name="Normal 2 4 3 3 8 3" xfId="10970" xr:uid="{6E0FED53-2324-4D9F-AE65-BE9F7B0D8C4F}"/>
    <cellStyle name="Normal 2 4 3 3 8 4" xfId="19399" xr:uid="{7974DEA3-6805-48D8-B1C6-66A825A2E5E9}"/>
    <cellStyle name="Normal 2 4 3 3 9" xfId="4693" xr:uid="{00000000-0005-0000-0000-00001E100000}"/>
    <cellStyle name="Normal 2 4 3 3 9 2" xfId="13122" xr:uid="{2CA7EA17-0FFC-4F24-B04D-9AF62B4A8B18}"/>
    <cellStyle name="Normal 2 4 3 3 9 3" xfId="21550" xr:uid="{2BFCDD25-7859-42E7-99F3-AC503E4C8210}"/>
    <cellStyle name="Normal 2 4 3 4" xfId="788" xr:uid="{00000000-0005-0000-0000-00001F100000}"/>
    <cellStyle name="Normal 2 4 3 4 2" xfId="3027" xr:uid="{00000000-0005-0000-0000-000020100000}"/>
    <cellStyle name="Normal 2 4 3 4 2 2" xfId="7251" xr:uid="{00000000-0005-0000-0000-000021100000}"/>
    <cellStyle name="Normal 2 4 3 4 2 2 2" xfId="15680" xr:uid="{05072D97-F8CC-4054-8A96-C0F5016E08A3}"/>
    <cellStyle name="Normal 2 4 3 4 2 2 3" xfId="24108" xr:uid="{3BCB9F73-0E72-402A-8F6E-A1E284AB472E}"/>
    <cellStyle name="Normal 2 4 3 4 2 3" xfId="11462" xr:uid="{63C61E71-EACE-4C6E-9E5D-7D30CC439CD8}"/>
    <cellStyle name="Normal 2 4 3 4 2 4" xfId="19891" xr:uid="{32FD492B-FB20-475B-892B-05FA6896728C}"/>
    <cellStyle name="Normal 2 4 3 4 3" xfId="5106" xr:uid="{00000000-0005-0000-0000-000022100000}"/>
    <cellStyle name="Normal 2 4 3 4 3 2" xfId="13535" xr:uid="{0A67D620-875C-447A-A50D-1D77972E8A58}"/>
    <cellStyle name="Normal 2 4 3 4 3 3" xfId="21963" xr:uid="{D231982F-118E-4A52-9841-44545F74D28D}"/>
    <cellStyle name="Normal 2 4 3 4 4" xfId="9317" xr:uid="{5D7D533F-3EB7-4A20-A0C1-C989E037AD68}"/>
    <cellStyle name="Normal 2 4 3 4 5" xfId="17746" xr:uid="{099D60F4-CFBD-4889-8FBD-9F18847A709E}"/>
    <cellStyle name="Normal 2 4 3 5" xfId="1210" xr:uid="{00000000-0005-0000-0000-000023100000}"/>
    <cellStyle name="Normal 2 4 3 5 2" xfId="3440" xr:uid="{00000000-0005-0000-0000-000024100000}"/>
    <cellStyle name="Normal 2 4 3 5 2 2" xfId="7664" xr:uid="{00000000-0005-0000-0000-000025100000}"/>
    <cellStyle name="Normal 2 4 3 5 2 2 2" xfId="16093" xr:uid="{A1D576D2-C0B3-49E6-9D09-3DFDD38EC13C}"/>
    <cellStyle name="Normal 2 4 3 5 2 2 3" xfId="24521" xr:uid="{BCABB788-6A14-4FAD-8932-3793BAF59D7A}"/>
    <cellStyle name="Normal 2 4 3 5 2 3" xfId="11875" xr:uid="{E7B84548-6131-4E50-85A1-1E4FF1A1FE86}"/>
    <cellStyle name="Normal 2 4 3 5 2 4" xfId="20304" xr:uid="{D7B9C5E5-6193-45F5-A8CD-323D7D4ABCA2}"/>
    <cellStyle name="Normal 2 4 3 5 3" xfId="5519" xr:uid="{00000000-0005-0000-0000-000026100000}"/>
    <cellStyle name="Normal 2 4 3 5 3 2" xfId="13948" xr:uid="{A176E721-D46D-46DC-964C-B8EC5B0DDF6B}"/>
    <cellStyle name="Normal 2 4 3 5 3 3" xfId="22376" xr:uid="{66F7539B-81CD-4F54-897C-4332B76590EF}"/>
    <cellStyle name="Normal 2 4 3 5 4" xfId="9730" xr:uid="{DB0E4C81-899C-43FF-9D9E-82A73E7BC520}"/>
    <cellStyle name="Normal 2 4 3 5 5" xfId="18159" xr:uid="{656575CA-CEF3-48AB-8E57-7C93A454397D}"/>
    <cellStyle name="Normal 2 4 3 6" xfId="1623" xr:uid="{00000000-0005-0000-0000-000027100000}"/>
    <cellStyle name="Normal 2 4 3 6 2" xfId="3853" xr:uid="{00000000-0005-0000-0000-000028100000}"/>
    <cellStyle name="Normal 2 4 3 6 2 2" xfId="8077" xr:uid="{00000000-0005-0000-0000-000029100000}"/>
    <cellStyle name="Normal 2 4 3 6 2 2 2" xfId="16506" xr:uid="{7E013154-C885-49E7-8474-24BA33C4C549}"/>
    <cellStyle name="Normal 2 4 3 6 2 2 3" xfId="24934" xr:uid="{57A0CF5F-92AF-4A74-B458-601EF29AB81B}"/>
    <cellStyle name="Normal 2 4 3 6 2 3" xfId="12288" xr:uid="{77FDD648-B0AB-46E2-93E2-FCD3F731A773}"/>
    <cellStyle name="Normal 2 4 3 6 2 4" xfId="20717" xr:uid="{8A7F1599-1885-4921-B0C4-C13BFBC9ABB4}"/>
    <cellStyle name="Normal 2 4 3 6 3" xfId="5932" xr:uid="{00000000-0005-0000-0000-00002A100000}"/>
    <cellStyle name="Normal 2 4 3 6 3 2" xfId="14361" xr:uid="{289B859B-2DEE-45D3-A01E-A3149060A283}"/>
    <cellStyle name="Normal 2 4 3 6 3 3" xfId="22789" xr:uid="{DCEEFF61-42D2-4F7D-B172-27E263293F44}"/>
    <cellStyle name="Normal 2 4 3 6 4" xfId="10143" xr:uid="{5283AF0D-113F-47B9-9D68-F7FE68C3CD0B}"/>
    <cellStyle name="Normal 2 4 3 6 5" xfId="18572" xr:uid="{7587E832-41C7-419D-9C6C-C07EE757299D}"/>
    <cellStyle name="Normal 2 4 3 7" xfId="2037" xr:uid="{00000000-0005-0000-0000-00002B100000}"/>
    <cellStyle name="Normal 2 4 3 7 2" xfId="4266" xr:uid="{00000000-0005-0000-0000-00002C100000}"/>
    <cellStyle name="Normal 2 4 3 7 2 2" xfId="8490" xr:uid="{00000000-0005-0000-0000-00002D100000}"/>
    <cellStyle name="Normal 2 4 3 7 2 2 2" xfId="16919" xr:uid="{47B93F40-54A5-4479-B415-92BD2D680DF9}"/>
    <cellStyle name="Normal 2 4 3 7 2 2 3" xfId="25347" xr:uid="{8510B17D-A6A6-4401-AE4E-DFF5272E031E}"/>
    <cellStyle name="Normal 2 4 3 7 2 3" xfId="12701" xr:uid="{E414DFDF-71A6-4A92-BB81-6080458D6334}"/>
    <cellStyle name="Normal 2 4 3 7 2 4" xfId="21130" xr:uid="{FD4726BD-7EF0-42E6-95FD-1925645DF295}"/>
    <cellStyle name="Normal 2 4 3 7 3" xfId="6345" xr:uid="{00000000-0005-0000-0000-00002E100000}"/>
    <cellStyle name="Normal 2 4 3 7 3 2" xfId="14774" xr:uid="{A54772C5-0F84-452F-A654-0AB7556E9160}"/>
    <cellStyle name="Normal 2 4 3 7 3 3" xfId="23202" xr:uid="{45DEB37D-18C2-4A92-B7CD-A98EBEF69D9A}"/>
    <cellStyle name="Normal 2 4 3 7 4" xfId="10556" xr:uid="{0EF70F37-B243-4F0B-8E58-A8D1D9DFFBC0}"/>
    <cellStyle name="Normal 2 4 3 7 5" xfId="18985" xr:uid="{09F128F1-BF72-44FC-A76C-20D930FB7169}"/>
    <cellStyle name="Normal 2 4 3 8" xfId="2473" xr:uid="{00000000-0005-0000-0000-00002F100000}"/>
    <cellStyle name="Normal 2 4 3 8 2" xfId="6758" xr:uid="{00000000-0005-0000-0000-000030100000}"/>
    <cellStyle name="Normal 2 4 3 8 2 2" xfId="15187" xr:uid="{A03D93DB-EE95-4150-ACAD-C3E1EAE8A549}"/>
    <cellStyle name="Normal 2 4 3 8 2 3" xfId="23615" xr:uid="{DA23D8F3-F6ED-4907-AF43-AC888594AC55}"/>
    <cellStyle name="Normal 2 4 3 8 3" xfId="10969" xr:uid="{73D6D2D1-4D47-4165-AE08-C7B8C5D7751E}"/>
    <cellStyle name="Normal 2 4 3 8 4" xfId="19398" xr:uid="{90C79A3E-752E-45D5-9F37-171F6DC3BCBB}"/>
    <cellStyle name="Normal 2 4 3 9" xfId="4692" xr:uid="{00000000-0005-0000-0000-000031100000}"/>
    <cellStyle name="Normal 2 4 3 9 2" xfId="13121" xr:uid="{8CC0EC4B-8B4E-4F21-AAF0-4809B6AB7636}"/>
    <cellStyle name="Normal 2 4 3 9 3" xfId="21549" xr:uid="{EAF32F1B-6F5E-4D71-99FC-D1E06CE6179C}"/>
    <cellStyle name="Normal 2 4 4" xfId="302" xr:uid="{00000000-0005-0000-0000-000032100000}"/>
    <cellStyle name="Normal 2 4 5" xfId="303" xr:uid="{00000000-0005-0000-0000-000033100000}"/>
    <cellStyle name="Normal 2 4 5 10" xfId="4697" xr:uid="{00000000-0005-0000-0000-000034100000}"/>
    <cellStyle name="Normal 2 4 5 10 2" xfId="13126" xr:uid="{E4D99EF8-12CF-4835-B7B6-885B2AC36CE9}"/>
    <cellStyle name="Normal 2 4 5 10 3" xfId="21554" xr:uid="{E1B133BA-BBBA-4A57-9EDE-C095CAC77866}"/>
    <cellStyle name="Normal 2 4 5 11" xfId="8908" xr:uid="{943F7DD4-8597-4823-8381-25407E3BB898}"/>
    <cellStyle name="Normal 2 4 5 12" xfId="17337" xr:uid="{973643FD-431E-43AB-A531-6CA941008D6F}"/>
    <cellStyle name="Normal 2 4 5 2" xfId="304" xr:uid="{00000000-0005-0000-0000-000035100000}"/>
    <cellStyle name="Normal 2 4 5 2 10" xfId="8909" xr:uid="{C9A98124-049D-4C57-B8E2-8678E78E9E59}"/>
    <cellStyle name="Normal 2 4 5 2 11" xfId="17338" xr:uid="{43D9F609-7051-4910-AB69-4E0A087E9F41}"/>
    <cellStyle name="Normal 2 4 5 2 2" xfId="305" xr:uid="{00000000-0005-0000-0000-000036100000}"/>
    <cellStyle name="Normal 2 4 5 2 2 10" xfId="17339" xr:uid="{C8E01E47-E92D-4854-B3BA-F52E79D521FD}"/>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8" xr:uid="{BBF04A06-9222-4081-826C-93E9B6BA70A8}"/>
    <cellStyle name="Normal 2 4 5 2 2 2 2 2 2 3" xfId="24116" xr:uid="{C3BCD690-557A-4572-A0D3-75CA2940B21E}"/>
    <cellStyle name="Normal 2 4 5 2 2 2 2 2 3" xfId="11470" xr:uid="{3091161A-6002-4250-9D31-D797C7D30AAB}"/>
    <cellStyle name="Normal 2 4 5 2 2 2 2 2 4" xfId="19899" xr:uid="{68B52A1C-E854-4AA3-8279-A6C7AD484B63}"/>
    <cellStyle name="Normal 2 4 5 2 2 2 2 3" xfId="5114" xr:uid="{00000000-0005-0000-0000-00003B100000}"/>
    <cellStyle name="Normal 2 4 5 2 2 2 2 3 2" xfId="13543" xr:uid="{C84D503C-2C07-4203-B01B-645E1DF9C003}"/>
    <cellStyle name="Normal 2 4 5 2 2 2 2 3 3" xfId="21971" xr:uid="{B3003D82-71AD-4509-BD68-6212B9652ECC}"/>
    <cellStyle name="Normal 2 4 5 2 2 2 2 4" xfId="9325" xr:uid="{A7DDA638-32CB-4592-9A5E-65872BD81D12}"/>
    <cellStyle name="Normal 2 4 5 2 2 2 2 5" xfId="17754" xr:uid="{B7964BC8-E2B2-4165-93F8-BCACFA1F2175}"/>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101" xr:uid="{CB79869E-418E-454F-ABE3-2998E001810D}"/>
    <cellStyle name="Normal 2 4 5 2 2 2 3 2 2 3" xfId="24529" xr:uid="{C5ACF435-56CD-4C56-A861-3AB3D81FEAA2}"/>
    <cellStyle name="Normal 2 4 5 2 2 2 3 2 3" xfId="11883" xr:uid="{12C33709-5D29-4936-8B9C-BA134E5ACD5C}"/>
    <cellStyle name="Normal 2 4 5 2 2 2 3 2 4" xfId="20312" xr:uid="{F5C1CDC6-EE1A-444A-A2C7-A2668E3B66E3}"/>
    <cellStyle name="Normal 2 4 5 2 2 2 3 3" xfId="5527" xr:uid="{00000000-0005-0000-0000-00003F100000}"/>
    <cellStyle name="Normal 2 4 5 2 2 2 3 3 2" xfId="13956" xr:uid="{B410C0D8-4C05-4388-BB03-12D9D48A8571}"/>
    <cellStyle name="Normal 2 4 5 2 2 2 3 3 3" xfId="22384" xr:uid="{CFDFA485-43C1-4881-B830-6F96ACC36495}"/>
    <cellStyle name="Normal 2 4 5 2 2 2 3 4" xfId="9738" xr:uid="{14D6C106-AF82-49B4-8746-A5BB0BAE6E07}"/>
    <cellStyle name="Normal 2 4 5 2 2 2 3 5" xfId="18167" xr:uid="{34F9C728-679D-4D56-A39D-7E1718D36F92}"/>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14" xr:uid="{F45D64CF-6601-4A7F-97A0-E1DBFE913E48}"/>
    <cellStyle name="Normal 2 4 5 2 2 2 4 2 2 3" xfId="24942" xr:uid="{CDF521E9-F22B-48A6-968F-7DFAC9C4811B}"/>
    <cellStyle name="Normal 2 4 5 2 2 2 4 2 3" xfId="12296" xr:uid="{66746ABB-2686-40F4-BA9F-D18EDE787C32}"/>
    <cellStyle name="Normal 2 4 5 2 2 2 4 2 4" xfId="20725" xr:uid="{0CA766C4-3B95-4F42-82BC-6766AECB16CD}"/>
    <cellStyle name="Normal 2 4 5 2 2 2 4 3" xfId="5940" xr:uid="{00000000-0005-0000-0000-000043100000}"/>
    <cellStyle name="Normal 2 4 5 2 2 2 4 3 2" xfId="14369" xr:uid="{72DFE304-AFFD-46A6-AE07-6B99E532D32F}"/>
    <cellStyle name="Normal 2 4 5 2 2 2 4 3 3" xfId="22797" xr:uid="{5F188A37-A9C9-4990-8B32-730C76D1EC11}"/>
    <cellStyle name="Normal 2 4 5 2 2 2 4 4" xfId="10151" xr:uid="{6FA37E28-9DEC-4776-AD2A-7ADDFD67EFC3}"/>
    <cellStyle name="Normal 2 4 5 2 2 2 4 5" xfId="18580" xr:uid="{2595D537-9AD8-4050-95F0-837A09785537}"/>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7" xr:uid="{4D54C3E4-9B0B-4A85-AC40-362BA47EB6E3}"/>
    <cellStyle name="Normal 2 4 5 2 2 2 5 2 2 3" xfId="25355" xr:uid="{75B36022-E9F4-44F2-B559-D41A27B79964}"/>
    <cellStyle name="Normal 2 4 5 2 2 2 5 2 3" xfId="12709" xr:uid="{AA9E8658-B203-466C-8304-759784D21FCC}"/>
    <cellStyle name="Normal 2 4 5 2 2 2 5 2 4" xfId="21138" xr:uid="{8D707899-ED72-4041-946B-0FB39BB86C92}"/>
    <cellStyle name="Normal 2 4 5 2 2 2 5 3" xfId="6353" xr:uid="{00000000-0005-0000-0000-000047100000}"/>
    <cellStyle name="Normal 2 4 5 2 2 2 5 3 2" xfId="14782" xr:uid="{764BC2B8-4489-4166-A4A1-EB2391D67D63}"/>
    <cellStyle name="Normal 2 4 5 2 2 2 5 3 3" xfId="23210" xr:uid="{9AE0EB0B-584B-41B4-88E4-C0D4590CA6EE}"/>
    <cellStyle name="Normal 2 4 5 2 2 2 5 4" xfId="10564" xr:uid="{E1C003B5-E5AD-4277-8397-76E5F5A49CD4}"/>
    <cellStyle name="Normal 2 4 5 2 2 2 5 5" xfId="18993" xr:uid="{8403E700-B2AF-4C2A-BF3B-9DAC5429705D}"/>
    <cellStyle name="Normal 2 4 5 2 2 2 6" xfId="2481" xr:uid="{00000000-0005-0000-0000-000048100000}"/>
    <cellStyle name="Normal 2 4 5 2 2 2 6 2" xfId="6766" xr:uid="{00000000-0005-0000-0000-000049100000}"/>
    <cellStyle name="Normal 2 4 5 2 2 2 6 2 2" xfId="15195" xr:uid="{444A6961-9413-44EC-8E09-84BBE08BE555}"/>
    <cellStyle name="Normal 2 4 5 2 2 2 6 2 3" xfId="23623" xr:uid="{69F3D4F2-C2B3-4830-BFCF-6CDC2E49B4C8}"/>
    <cellStyle name="Normal 2 4 5 2 2 2 6 3" xfId="10977" xr:uid="{A94DCCD8-3B07-4757-AA29-326940223238}"/>
    <cellStyle name="Normal 2 4 5 2 2 2 6 4" xfId="19406" xr:uid="{07C430B8-27BF-4CCC-AC60-1D563CA66E79}"/>
    <cellStyle name="Normal 2 4 5 2 2 2 7" xfId="4700" xr:uid="{00000000-0005-0000-0000-00004A100000}"/>
    <cellStyle name="Normal 2 4 5 2 2 2 7 2" xfId="13129" xr:uid="{725D1FB2-5175-4173-AF27-D2A41BEA7952}"/>
    <cellStyle name="Normal 2 4 5 2 2 2 7 3" xfId="21557" xr:uid="{1BE4F0E3-26C8-4D22-B6CB-50333A0819A6}"/>
    <cellStyle name="Normal 2 4 5 2 2 2 8" xfId="8911" xr:uid="{61437E7A-098A-48AF-8275-55BBF2F820DD}"/>
    <cellStyle name="Normal 2 4 5 2 2 2 9" xfId="17340" xr:uid="{7B21CD80-1419-4C4E-B9F0-440CD07B316A}"/>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7" xr:uid="{DB6409D7-C77C-4107-8B09-461932976DBC}"/>
    <cellStyle name="Normal 2 4 5 2 2 3 2 2 3" xfId="24115" xr:uid="{17577329-491E-4E3B-AB5F-8AE1301EAB5B}"/>
    <cellStyle name="Normal 2 4 5 2 2 3 2 3" xfId="11469" xr:uid="{D8BFBD12-9434-4C47-B51C-3614E3A4DC11}"/>
    <cellStyle name="Normal 2 4 5 2 2 3 2 4" xfId="19898" xr:uid="{85E8F145-BB14-4FC7-B73D-980C43623D68}"/>
    <cellStyle name="Normal 2 4 5 2 2 3 3" xfId="5113" xr:uid="{00000000-0005-0000-0000-00004E100000}"/>
    <cellStyle name="Normal 2 4 5 2 2 3 3 2" xfId="13542" xr:uid="{191537AF-1293-414E-8103-D1183608FD44}"/>
    <cellStyle name="Normal 2 4 5 2 2 3 3 3" xfId="21970" xr:uid="{7D3D8006-22EE-4C0E-9267-D5A6CC440E6C}"/>
    <cellStyle name="Normal 2 4 5 2 2 3 4" xfId="9324" xr:uid="{62359635-9C2C-4302-B795-B9F1DF34297E}"/>
    <cellStyle name="Normal 2 4 5 2 2 3 5" xfId="17753" xr:uid="{F6FE5C35-B5F3-4F36-A95D-8A0461549FD4}"/>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100" xr:uid="{A412D3D0-6390-419C-8A14-17BE49BD3849}"/>
    <cellStyle name="Normal 2 4 5 2 2 4 2 2 3" xfId="24528" xr:uid="{0DC3C35F-0DFC-428E-9301-978ED4C979B7}"/>
    <cellStyle name="Normal 2 4 5 2 2 4 2 3" xfId="11882" xr:uid="{E6BDF926-E3F0-4B29-BD36-03626FB90133}"/>
    <cellStyle name="Normal 2 4 5 2 2 4 2 4" xfId="20311" xr:uid="{9AF40FB5-DD4E-4FFC-B540-0198B93DB86C}"/>
    <cellStyle name="Normal 2 4 5 2 2 4 3" xfId="5526" xr:uid="{00000000-0005-0000-0000-000052100000}"/>
    <cellStyle name="Normal 2 4 5 2 2 4 3 2" xfId="13955" xr:uid="{3C9731EC-A85B-49B3-A0CC-211FC669F2B0}"/>
    <cellStyle name="Normal 2 4 5 2 2 4 3 3" xfId="22383" xr:uid="{A511CB1B-D4DD-42C0-A28C-206DF4F2CAA9}"/>
    <cellStyle name="Normal 2 4 5 2 2 4 4" xfId="9737" xr:uid="{327C2A1D-4589-41A0-82A7-4BF6F8FE77D9}"/>
    <cellStyle name="Normal 2 4 5 2 2 4 5" xfId="18166" xr:uid="{2B653E29-268A-4B62-A7D4-263EC2C73A0D}"/>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13" xr:uid="{53352761-BD9A-4996-9873-6FB85641924A}"/>
    <cellStyle name="Normal 2 4 5 2 2 5 2 2 3" xfId="24941" xr:uid="{42418483-7EBF-469C-A4D6-F1AC952BB512}"/>
    <cellStyle name="Normal 2 4 5 2 2 5 2 3" xfId="12295" xr:uid="{B1D240C0-576C-4096-9F1F-E006D208097A}"/>
    <cellStyle name="Normal 2 4 5 2 2 5 2 4" xfId="20724" xr:uid="{72AE9013-EC5B-446F-8D58-95A3E6E4CCD4}"/>
    <cellStyle name="Normal 2 4 5 2 2 5 3" xfId="5939" xr:uid="{00000000-0005-0000-0000-000056100000}"/>
    <cellStyle name="Normal 2 4 5 2 2 5 3 2" xfId="14368" xr:uid="{B5369EC9-1A87-465F-8685-D537EF5E8EE0}"/>
    <cellStyle name="Normal 2 4 5 2 2 5 3 3" xfId="22796" xr:uid="{ED1377AE-A5E3-4BD2-B669-6D46AB67E966}"/>
    <cellStyle name="Normal 2 4 5 2 2 5 4" xfId="10150" xr:uid="{683919B5-74D3-4FAA-85D0-6B765665A465}"/>
    <cellStyle name="Normal 2 4 5 2 2 5 5" xfId="18579" xr:uid="{B33EB21A-60A3-479C-90B5-B8D07A8166AE}"/>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26" xr:uid="{7EDC647A-CE44-4146-9056-B27B78829CA8}"/>
    <cellStyle name="Normal 2 4 5 2 2 6 2 2 3" xfId="25354" xr:uid="{68D88106-B085-4135-A36E-02B811F0A75E}"/>
    <cellStyle name="Normal 2 4 5 2 2 6 2 3" xfId="12708" xr:uid="{23F29698-F04D-46D1-9AD0-5B65BC5342A0}"/>
    <cellStyle name="Normal 2 4 5 2 2 6 2 4" xfId="21137" xr:uid="{8DE7E567-383E-439D-8B21-CF9D268F6486}"/>
    <cellStyle name="Normal 2 4 5 2 2 6 3" xfId="6352" xr:uid="{00000000-0005-0000-0000-00005A100000}"/>
    <cellStyle name="Normal 2 4 5 2 2 6 3 2" xfId="14781" xr:uid="{E0D808F8-F799-40A1-87B8-2C07AD83DE5B}"/>
    <cellStyle name="Normal 2 4 5 2 2 6 3 3" xfId="23209" xr:uid="{5680B423-EF6C-4A14-BA90-4D4E1FB45789}"/>
    <cellStyle name="Normal 2 4 5 2 2 6 4" xfId="10563" xr:uid="{DDC8F5FB-F070-4FB2-A608-588953C67F7E}"/>
    <cellStyle name="Normal 2 4 5 2 2 6 5" xfId="18992" xr:uid="{5A162769-F26A-4E42-A058-EF31A351C820}"/>
    <cellStyle name="Normal 2 4 5 2 2 7" xfId="2480" xr:uid="{00000000-0005-0000-0000-00005B100000}"/>
    <cellStyle name="Normal 2 4 5 2 2 7 2" xfId="6765" xr:uid="{00000000-0005-0000-0000-00005C100000}"/>
    <cellStyle name="Normal 2 4 5 2 2 7 2 2" xfId="15194" xr:uid="{42F263A4-7665-4C6B-AA30-C11C2740A981}"/>
    <cellStyle name="Normal 2 4 5 2 2 7 2 3" xfId="23622" xr:uid="{0D82BE62-60A3-4C70-85CF-303AE4BA522A}"/>
    <cellStyle name="Normal 2 4 5 2 2 7 3" xfId="10976" xr:uid="{2BA28BFD-765E-41D8-BB62-61E2ECF18BCC}"/>
    <cellStyle name="Normal 2 4 5 2 2 7 4" xfId="19405" xr:uid="{4C6E48C2-E8AD-4DA0-A564-887E2EF76EA4}"/>
    <cellStyle name="Normal 2 4 5 2 2 8" xfId="4699" xr:uid="{00000000-0005-0000-0000-00005D100000}"/>
    <cellStyle name="Normal 2 4 5 2 2 8 2" xfId="13128" xr:uid="{872AAD92-DBE5-461C-908A-40E841EACAAA}"/>
    <cellStyle name="Normal 2 4 5 2 2 8 3" xfId="21556" xr:uid="{CC5560C6-261D-46EE-BB6F-113D2BEE2E09}"/>
    <cellStyle name="Normal 2 4 5 2 2 9" xfId="8910" xr:uid="{1F2B08E7-3458-4534-AE6E-B01A918DD06E}"/>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9" xr:uid="{A99A6770-B205-4A6B-B1EF-4FF5E364E351}"/>
    <cellStyle name="Normal 2 4 5 2 3 2 2 2 3" xfId="24117" xr:uid="{B4FD38EE-0DB7-4C23-9C02-95291B5AC238}"/>
    <cellStyle name="Normal 2 4 5 2 3 2 2 3" xfId="11471" xr:uid="{B4584925-41D8-467C-8B38-3F420C1E4CE3}"/>
    <cellStyle name="Normal 2 4 5 2 3 2 2 4" xfId="19900" xr:uid="{8C1E44BC-46C4-4DA2-A390-21F2016BCB38}"/>
    <cellStyle name="Normal 2 4 5 2 3 2 3" xfId="5115" xr:uid="{00000000-0005-0000-0000-000062100000}"/>
    <cellStyle name="Normal 2 4 5 2 3 2 3 2" xfId="13544" xr:uid="{A577C212-7276-44A3-AB55-3BBCC98398BA}"/>
    <cellStyle name="Normal 2 4 5 2 3 2 3 3" xfId="21972" xr:uid="{50F4704B-B871-41D4-A0E1-BE633DB235DF}"/>
    <cellStyle name="Normal 2 4 5 2 3 2 4" xfId="9326" xr:uid="{845BD33D-AC72-4DCA-AEE0-778E2DB83893}"/>
    <cellStyle name="Normal 2 4 5 2 3 2 5" xfId="17755" xr:uid="{9A25F2E8-DF6A-4927-B0D9-4907F795C1C2}"/>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102" xr:uid="{8D0E93EC-1AB7-4EC4-898A-3486812EAEC4}"/>
    <cellStyle name="Normal 2 4 5 2 3 3 2 2 3" xfId="24530" xr:uid="{5FB96533-BE75-41AC-A3C1-41304AA4172D}"/>
    <cellStyle name="Normal 2 4 5 2 3 3 2 3" xfId="11884" xr:uid="{E6ECACDD-40DF-4439-8C59-EAA9D74C2320}"/>
    <cellStyle name="Normal 2 4 5 2 3 3 2 4" xfId="20313" xr:uid="{B90EFBD0-360D-4C82-A817-097A51405AA5}"/>
    <cellStyle name="Normal 2 4 5 2 3 3 3" xfId="5528" xr:uid="{00000000-0005-0000-0000-000066100000}"/>
    <cellStyle name="Normal 2 4 5 2 3 3 3 2" xfId="13957" xr:uid="{BA23BCC2-36D3-499E-8146-CBE4FA1F4D88}"/>
    <cellStyle name="Normal 2 4 5 2 3 3 3 3" xfId="22385" xr:uid="{2E3B83D2-8147-49FA-82BF-13AC8C99945F}"/>
    <cellStyle name="Normal 2 4 5 2 3 3 4" xfId="9739" xr:uid="{39F63A7E-00D7-4470-BED9-504ADA0F03AD}"/>
    <cellStyle name="Normal 2 4 5 2 3 3 5" xfId="18168" xr:uid="{2D23F7EA-205E-42E5-B2AE-589C45FE8F4F}"/>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15" xr:uid="{577B4C2F-7BF0-49C5-B8BA-33D044B39E26}"/>
    <cellStyle name="Normal 2 4 5 2 3 4 2 2 3" xfId="24943" xr:uid="{4ABB146A-7E19-4580-9822-80F08C7BAED6}"/>
    <cellStyle name="Normal 2 4 5 2 3 4 2 3" xfId="12297" xr:uid="{2815335F-447D-4427-AFF4-AA9F16F90057}"/>
    <cellStyle name="Normal 2 4 5 2 3 4 2 4" xfId="20726" xr:uid="{B44EE10D-2ECA-44AB-9180-3139B8526A77}"/>
    <cellStyle name="Normal 2 4 5 2 3 4 3" xfId="5941" xr:uid="{00000000-0005-0000-0000-00006A100000}"/>
    <cellStyle name="Normal 2 4 5 2 3 4 3 2" xfId="14370" xr:uid="{A37FDC43-29DA-4610-BAA8-9AAF5D300EE0}"/>
    <cellStyle name="Normal 2 4 5 2 3 4 3 3" xfId="22798" xr:uid="{5E391765-B486-4F98-B4BF-682EEDE392CF}"/>
    <cellStyle name="Normal 2 4 5 2 3 4 4" xfId="10152" xr:uid="{FDF01BF6-A3A2-4311-BF39-F7FF8D4DE57A}"/>
    <cellStyle name="Normal 2 4 5 2 3 4 5" xfId="18581" xr:uid="{42ED8D8A-4BD1-4C27-9F36-DED3E2F0B614}"/>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8" xr:uid="{AB7C57CB-2536-4ABF-9235-F6B65EC3B661}"/>
    <cellStyle name="Normal 2 4 5 2 3 5 2 2 3" xfId="25356" xr:uid="{86912234-1BC5-4DFD-BEBF-D478581C184E}"/>
    <cellStyle name="Normal 2 4 5 2 3 5 2 3" xfId="12710" xr:uid="{8D9C3F26-9AAC-4FEB-80B5-21576786367A}"/>
    <cellStyle name="Normal 2 4 5 2 3 5 2 4" xfId="21139" xr:uid="{E52F6C7C-9847-47CE-9AF7-8756B85A6878}"/>
    <cellStyle name="Normal 2 4 5 2 3 5 3" xfId="6354" xr:uid="{00000000-0005-0000-0000-00006E100000}"/>
    <cellStyle name="Normal 2 4 5 2 3 5 3 2" xfId="14783" xr:uid="{297AF027-E2FC-48D6-BB0D-0113DCB263B8}"/>
    <cellStyle name="Normal 2 4 5 2 3 5 3 3" xfId="23211" xr:uid="{92E271E3-BA94-4E01-8C95-D225F866D54F}"/>
    <cellStyle name="Normal 2 4 5 2 3 5 4" xfId="10565" xr:uid="{CFC88292-6004-4091-A4C7-49C578895642}"/>
    <cellStyle name="Normal 2 4 5 2 3 5 5" xfId="18994" xr:uid="{7BFB5931-2612-42B0-A1D1-6102A7F23B0B}"/>
    <cellStyle name="Normal 2 4 5 2 3 6" xfId="2482" xr:uid="{00000000-0005-0000-0000-00006F100000}"/>
    <cellStyle name="Normal 2 4 5 2 3 6 2" xfId="6767" xr:uid="{00000000-0005-0000-0000-000070100000}"/>
    <cellStyle name="Normal 2 4 5 2 3 6 2 2" xfId="15196" xr:uid="{71FB03B4-8D13-4D00-8B68-F168EA71A8F4}"/>
    <cellStyle name="Normal 2 4 5 2 3 6 2 3" xfId="23624" xr:uid="{3E2E4516-B275-4F17-AD68-BBDB17DB16A3}"/>
    <cellStyle name="Normal 2 4 5 2 3 6 3" xfId="10978" xr:uid="{90699AE8-78B1-4600-8B75-1461527967C9}"/>
    <cellStyle name="Normal 2 4 5 2 3 6 4" xfId="19407" xr:uid="{DE908405-30D6-4874-BE90-062A84740E0E}"/>
    <cellStyle name="Normal 2 4 5 2 3 7" xfId="4701" xr:uid="{00000000-0005-0000-0000-000071100000}"/>
    <cellStyle name="Normal 2 4 5 2 3 7 2" xfId="13130" xr:uid="{DD0A24D5-E2D4-4EE6-8866-0E36FACAF414}"/>
    <cellStyle name="Normal 2 4 5 2 3 7 3" xfId="21558" xr:uid="{DD71E342-99D4-4213-B629-E5462DC7A1C3}"/>
    <cellStyle name="Normal 2 4 5 2 3 8" xfId="8912" xr:uid="{F75DC603-7743-4FA7-B147-A692E354E5FC}"/>
    <cellStyle name="Normal 2 4 5 2 3 9" xfId="17341" xr:uid="{6BC59338-A7A6-45E5-B715-8F4BBC1054C4}"/>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86" xr:uid="{EA1F9917-554D-43BD-817F-6D84A43B3930}"/>
    <cellStyle name="Normal 2 4 5 2 4 2 2 3" xfId="24114" xr:uid="{E5381F97-868C-4224-8483-CF2DC33E8013}"/>
    <cellStyle name="Normal 2 4 5 2 4 2 3" xfId="11468" xr:uid="{E5E65DAF-0A65-4955-A370-81BB96ECC341}"/>
    <cellStyle name="Normal 2 4 5 2 4 2 4" xfId="19897" xr:uid="{91DABC28-CD8A-45BB-A79A-8703A86B3A67}"/>
    <cellStyle name="Normal 2 4 5 2 4 3" xfId="5112" xr:uid="{00000000-0005-0000-0000-000075100000}"/>
    <cellStyle name="Normal 2 4 5 2 4 3 2" xfId="13541" xr:uid="{577D2FF1-1444-4482-82EB-67B5E08A10DF}"/>
    <cellStyle name="Normal 2 4 5 2 4 3 3" xfId="21969" xr:uid="{EA4B7F99-001B-4F11-9F43-635E16683A65}"/>
    <cellStyle name="Normal 2 4 5 2 4 4" xfId="9323" xr:uid="{76693F1A-147D-48BC-BC07-BE8C377EF750}"/>
    <cellStyle name="Normal 2 4 5 2 4 5" xfId="17752" xr:uid="{C071FBB5-EFED-42B8-B7CE-36FB405BE9DC}"/>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9" xr:uid="{F716A07C-86D1-4293-849E-AC84A37B0867}"/>
    <cellStyle name="Normal 2 4 5 2 5 2 2 3" xfId="24527" xr:uid="{37B78CE2-2631-4CE2-85D9-786787291690}"/>
    <cellStyle name="Normal 2 4 5 2 5 2 3" xfId="11881" xr:uid="{0502AAC1-27BE-4967-818D-975DA60E12AA}"/>
    <cellStyle name="Normal 2 4 5 2 5 2 4" xfId="20310" xr:uid="{48255264-4126-4652-9607-D2BBD8853A5D}"/>
    <cellStyle name="Normal 2 4 5 2 5 3" xfId="5525" xr:uid="{00000000-0005-0000-0000-000079100000}"/>
    <cellStyle name="Normal 2 4 5 2 5 3 2" xfId="13954" xr:uid="{282A2C9D-DCE9-4BC8-9189-28264AAA27C6}"/>
    <cellStyle name="Normal 2 4 5 2 5 3 3" xfId="22382" xr:uid="{D74E1B27-10C5-4AA0-8E4C-2DDBE74E5B3A}"/>
    <cellStyle name="Normal 2 4 5 2 5 4" xfId="9736" xr:uid="{CE17FFF4-D62C-4977-9243-6B6594B40122}"/>
    <cellStyle name="Normal 2 4 5 2 5 5" xfId="18165" xr:uid="{DD5BD9D0-4A98-4577-ABD5-18617D9F0023}"/>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12" xr:uid="{6DCB6402-CD71-433A-96BE-9E12691E115C}"/>
    <cellStyle name="Normal 2 4 5 2 6 2 2 3" xfId="24940" xr:uid="{13F76956-CFC7-458D-996A-E6DB6D0AB7F5}"/>
    <cellStyle name="Normal 2 4 5 2 6 2 3" xfId="12294" xr:uid="{B4943E98-0E6A-4955-9003-495805EDF478}"/>
    <cellStyle name="Normal 2 4 5 2 6 2 4" xfId="20723" xr:uid="{5006604E-4F9B-494F-80BE-65A06B59F9EF}"/>
    <cellStyle name="Normal 2 4 5 2 6 3" xfId="5938" xr:uid="{00000000-0005-0000-0000-00007D100000}"/>
    <cellStyle name="Normal 2 4 5 2 6 3 2" xfId="14367" xr:uid="{B14E2D5B-5150-490B-9058-48C22AD1B11B}"/>
    <cellStyle name="Normal 2 4 5 2 6 3 3" xfId="22795" xr:uid="{A721A960-E985-474E-B1A4-C86DF782EDEE}"/>
    <cellStyle name="Normal 2 4 5 2 6 4" xfId="10149" xr:uid="{0323B465-DD95-4719-A463-55108D21810D}"/>
    <cellStyle name="Normal 2 4 5 2 6 5" xfId="18578" xr:uid="{C78CA6D2-7745-4728-ADFE-EEC69F1A1D4C}"/>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25" xr:uid="{33E0CE2F-7F8B-4F54-B08B-8E9F3B1CF00A}"/>
    <cellStyle name="Normal 2 4 5 2 7 2 2 3" xfId="25353" xr:uid="{9B37A574-54D3-419B-AE7C-31016D45C1E0}"/>
    <cellStyle name="Normal 2 4 5 2 7 2 3" xfId="12707" xr:uid="{3CCF60E5-A995-47B3-86B0-FCB2BEEE7C10}"/>
    <cellStyle name="Normal 2 4 5 2 7 2 4" xfId="21136" xr:uid="{97A3F80B-890C-4B7A-B44C-CADBEC9047DF}"/>
    <cellStyle name="Normal 2 4 5 2 7 3" xfId="6351" xr:uid="{00000000-0005-0000-0000-000081100000}"/>
    <cellStyle name="Normal 2 4 5 2 7 3 2" xfId="14780" xr:uid="{9CF415E4-362B-4FD8-832A-C4A0D55B6A80}"/>
    <cellStyle name="Normal 2 4 5 2 7 3 3" xfId="23208" xr:uid="{C8DEDC05-F73D-4F49-9002-DDA7900C8C4B}"/>
    <cellStyle name="Normal 2 4 5 2 7 4" xfId="10562" xr:uid="{8D0B78FE-793D-434E-B315-CE336ABA0733}"/>
    <cellStyle name="Normal 2 4 5 2 7 5" xfId="18991" xr:uid="{BF6BB1E5-DAD2-448B-AE6C-545DE830310C}"/>
    <cellStyle name="Normal 2 4 5 2 8" xfId="2479" xr:uid="{00000000-0005-0000-0000-000082100000}"/>
    <cellStyle name="Normal 2 4 5 2 8 2" xfId="6764" xr:uid="{00000000-0005-0000-0000-000083100000}"/>
    <cellStyle name="Normal 2 4 5 2 8 2 2" xfId="15193" xr:uid="{668AC291-7145-4B03-84B0-27C50D9E3A04}"/>
    <cellStyle name="Normal 2 4 5 2 8 2 3" xfId="23621" xr:uid="{7E5A0157-2BBE-42B4-99F2-926C4E7B6E21}"/>
    <cellStyle name="Normal 2 4 5 2 8 3" xfId="10975" xr:uid="{59CBE69C-207F-4993-A1B6-FC0A3986571A}"/>
    <cellStyle name="Normal 2 4 5 2 8 4" xfId="19404" xr:uid="{E0F064C7-78AE-4023-A148-D5CC70DD1985}"/>
    <cellStyle name="Normal 2 4 5 2 9" xfId="4698" xr:uid="{00000000-0005-0000-0000-000084100000}"/>
    <cellStyle name="Normal 2 4 5 2 9 2" xfId="13127" xr:uid="{A33A1D88-53B6-4E2E-9C78-2F375F496076}"/>
    <cellStyle name="Normal 2 4 5 2 9 3" xfId="21555" xr:uid="{E27F2E39-286E-48B6-B5C7-6BD43C83A4EB}"/>
    <cellStyle name="Normal 2 4 5 3" xfId="308" xr:uid="{00000000-0005-0000-0000-000085100000}"/>
    <cellStyle name="Normal 2 4 5 3 10" xfId="17342" xr:uid="{FECC3CDF-C636-47EB-800B-C6A79B3BBC58}"/>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91" xr:uid="{ED80EF32-C510-4421-B3D7-C8BD2572E881}"/>
    <cellStyle name="Normal 2 4 5 3 2 2 2 2 3" xfId="24119" xr:uid="{3331BA4A-3114-47E4-B8AF-A3C20423887B}"/>
    <cellStyle name="Normal 2 4 5 3 2 2 2 3" xfId="11473" xr:uid="{36DFB2AA-BAC5-4B07-84B8-0CE43FC134CB}"/>
    <cellStyle name="Normal 2 4 5 3 2 2 2 4" xfId="19902" xr:uid="{451C1CC6-18BC-4EA0-862C-4DDBFE5BAF90}"/>
    <cellStyle name="Normal 2 4 5 3 2 2 3" xfId="5117" xr:uid="{00000000-0005-0000-0000-00008A100000}"/>
    <cellStyle name="Normal 2 4 5 3 2 2 3 2" xfId="13546" xr:uid="{C775F9B6-E507-4742-97B6-E2578FE861D3}"/>
    <cellStyle name="Normal 2 4 5 3 2 2 3 3" xfId="21974" xr:uid="{01A84D29-C6EB-4D08-8F9C-FBAFB459BE66}"/>
    <cellStyle name="Normal 2 4 5 3 2 2 4" xfId="9328" xr:uid="{050ACCBE-5B68-438B-9B9B-240B77491D4F}"/>
    <cellStyle name="Normal 2 4 5 3 2 2 5" xfId="17757" xr:uid="{FB4598B8-6D00-40FC-B107-EC49C6C337D1}"/>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104" xr:uid="{6573E086-5BD9-47E5-9C00-50FDF5EC1807}"/>
    <cellStyle name="Normal 2 4 5 3 2 3 2 2 3" xfId="24532" xr:uid="{415F1877-B423-4A15-913D-31715B2D8F62}"/>
    <cellStyle name="Normal 2 4 5 3 2 3 2 3" xfId="11886" xr:uid="{2E913D07-F6E9-4ADD-BAD6-AFAFE9660F09}"/>
    <cellStyle name="Normal 2 4 5 3 2 3 2 4" xfId="20315" xr:uid="{448417C9-28A4-4BD9-A60E-845C2B208C1B}"/>
    <cellStyle name="Normal 2 4 5 3 2 3 3" xfId="5530" xr:uid="{00000000-0005-0000-0000-00008E100000}"/>
    <cellStyle name="Normal 2 4 5 3 2 3 3 2" xfId="13959" xr:uid="{DEF046EB-77BD-4075-8FA3-C0124EDBA57A}"/>
    <cellStyle name="Normal 2 4 5 3 2 3 3 3" xfId="22387" xr:uid="{58081B53-CAC3-4C9A-85A1-8ED691EBA45F}"/>
    <cellStyle name="Normal 2 4 5 3 2 3 4" xfId="9741" xr:uid="{AF56C7E6-0304-45D0-A92E-9F5411453AB7}"/>
    <cellStyle name="Normal 2 4 5 3 2 3 5" xfId="18170" xr:uid="{2F88665E-0756-4072-9D63-ADACB323348A}"/>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7" xr:uid="{A60DA31A-3FB7-4438-99DF-D42FFDB4328A}"/>
    <cellStyle name="Normal 2 4 5 3 2 4 2 2 3" xfId="24945" xr:uid="{5ACFC3BD-1181-457D-BC16-79CF9DBDEA41}"/>
    <cellStyle name="Normal 2 4 5 3 2 4 2 3" xfId="12299" xr:uid="{C2D47854-AB9B-444C-9F72-8BFEC3CC6777}"/>
    <cellStyle name="Normal 2 4 5 3 2 4 2 4" xfId="20728" xr:uid="{FBF2796B-DC82-41C6-ACEF-0D254B463CD9}"/>
    <cellStyle name="Normal 2 4 5 3 2 4 3" xfId="5943" xr:uid="{00000000-0005-0000-0000-000092100000}"/>
    <cellStyle name="Normal 2 4 5 3 2 4 3 2" xfId="14372" xr:uid="{121128AE-2787-4C74-B771-0D17B1A9EA84}"/>
    <cellStyle name="Normal 2 4 5 3 2 4 3 3" xfId="22800" xr:uid="{EA004D40-9406-46C9-99B9-FB61788978B9}"/>
    <cellStyle name="Normal 2 4 5 3 2 4 4" xfId="10154" xr:uid="{C157835E-286A-4486-B8F5-043BD013BD47}"/>
    <cellStyle name="Normal 2 4 5 3 2 4 5" xfId="18583" xr:uid="{965EE6DE-C5BD-456A-AD79-DEFF87D908CA}"/>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30" xr:uid="{09BCE856-4BB6-4AA3-9CBC-024FF6480843}"/>
    <cellStyle name="Normal 2 4 5 3 2 5 2 2 3" xfId="25358" xr:uid="{FEB31846-D28B-4E27-B01E-A527FA588098}"/>
    <cellStyle name="Normal 2 4 5 3 2 5 2 3" xfId="12712" xr:uid="{E5C2830D-D2FE-4598-B2C8-FD100853BBE6}"/>
    <cellStyle name="Normal 2 4 5 3 2 5 2 4" xfId="21141" xr:uid="{A968B476-7F6F-4007-A9A8-B1A214E8CB82}"/>
    <cellStyle name="Normal 2 4 5 3 2 5 3" xfId="6356" xr:uid="{00000000-0005-0000-0000-000096100000}"/>
    <cellStyle name="Normal 2 4 5 3 2 5 3 2" xfId="14785" xr:uid="{6468D5E1-6782-4AB7-9CF5-4DE75BA3440D}"/>
    <cellStyle name="Normal 2 4 5 3 2 5 3 3" xfId="23213" xr:uid="{93CEBB83-C2BE-435C-9EF8-FE31CC93BBBD}"/>
    <cellStyle name="Normal 2 4 5 3 2 5 4" xfId="10567" xr:uid="{2532B478-9189-4521-B4BC-5C37A46E6CEA}"/>
    <cellStyle name="Normal 2 4 5 3 2 5 5" xfId="18996" xr:uid="{49540A80-997F-43AB-AC9D-907894FDB9E8}"/>
    <cellStyle name="Normal 2 4 5 3 2 6" xfId="2484" xr:uid="{00000000-0005-0000-0000-000097100000}"/>
    <cellStyle name="Normal 2 4 5 3 2 6 2" xfId="6769" xr:uid="{00000000-0005-0000-0000-000098100000}"/>
    <cellStyle name="Normal 2 4 5 3 2 6 2 2" xfId="15198" xr:uid="{E3C531A3-80ED-46F2-8225-1F3B18EE91DB}"/>
    <cellStyle name="Normal 2 4 5 3 2 6 2 3" xfId="23626" xr:uid="{31409BD7-55A1-4C32-B2A5-F3B784A4E881}"/>
    <cellStyle name="Normal 2 4 5 3 2 6 3" xfId="10980" xr:uid="{F6108B66-9A45-49AE-91A7-619B5D6908E4}"/>
    <cellStyle name="Normal 2 4 5 3 2 6 4" xfId="19409" xr:uid="{5408EF9C-4A01-44EA-A62E-E5FEFE99F53D}"/>
    <cellStyle name="Normal 2 4 5 3 2 7" xfId="4703" xr:uid="{00000000-0005-0000-0000-000099100000}"/>
    <cellStyle name="Normal 2 4 5 3 2 7 2" xfId="13132" xr:uid="{8EF0BD76-A2CB-45B8-9A5A-4573C634FAB7}"/>
    <cellStyle name="Normal 2 4 5 3 2 7 3" xfId="21560" xr:uid="{654800EA-0852-43D7-AA56-965EAC70EE88}"/>
    <cellStyle name="Normal 2 4 5 3 2 8" xfId="8914" xr:uid="{9076C2A6-C8F1-48C4-ABD3-813963AD95FF}"/>
    <cellStyle name="Normal 2 4 5 3 2 9" xfId="17343" xr:uid="{C3515148-531A-4B92-BA33-CD8367A64DD4}"/>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90" xr:uid="{C659A6D8-DDC8-4CDD-903E-1096246FD3DD}"/>
    <cellStyle name="Normal 2 4 5 3 3 2 2 3" xfId="24118" xr:uid="{EA28FB42-BFFF-4F57-B692-D98AD1645DB5}"/>
    <cellStyle name="Normal 2 4 5 3 3 2 3" xfId="11472" xr:uid="{1C6276D4-A7AF-486C-9CD4-E443FB34E186}"/>
    <cellStyle name="Normal 2 4 5 3 3 2 4" xfId="19901" xr:uid="{AA0872ED-3A91-464A-9C2B-E5B033AA1737}"/>
    <cellStyle name="Normal 2 4 5 3 3 3" xfId="5116" xr:uid="{00000000-0005-0000-0000-00009D100000}"/>
    <cellStyle name="Normal 2 4 5 3 3 3 2" xfId="13545" xr:uid="{B2565505-7B79-42E9-90EE-F57C70A4897B}"/>
    <cellStyle name="Normal 2 4 5 3 3 3 3" xfId="21973" xr:uid="{D5B3A696-08BE-4072-B7C3-D684AAFCD5B1}"/>
    <cellStyle name="Normal 2 4 5 3 3 4" xfId="9327" xr:uid="{28736653-57FB-4DCE-BC1F-4BB0C1E33A0E}"/>
    <cellStyle name="Normal 2 4 5 3 3 5" xfId="17756" xr:uid="{08CA1AA0-DA8B-4DB4-B858-64B30EB9C937}"/>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103" xr:uid="{1026BA0A-36FC-4D8D-8A8C-B85A1788C6DE}"/>
    <cellStyle name="Normal 2 4 5 3 4 2 2 3" xfId="24531" xr:uid="{8C3BE7FB-3BE2-4B87-A3BB-53928BB9EB49}"/>
    <cellStyle name="Normal 2 4 5 3 4 2 3" xfId="11885" xr:uid="{D367401C-5344-488E-8668-EF68B45C851D}"/>
    <cellStyle name="Normal 2 4 5 3 4 2 4" xfId="20314" xr:uid="{3BE0C7A9-5B6F-4247-A561-473ED81A2E9F}"/>
    <cellStyle name="Normal 2 4 5 3 4 3" xfId="5529" xr:uid="{00000000-0005-0000-0000-0000A1100000}"/>
    <cellStyle name="Normal 2 4 5 3 4 3 2" xfId="13958" xr:uid="{535FF1F3-9DC7-419F-9C9F-0C7D07C6B080}"/>
    <cellStyle name="Normal 2 4 5 3 4 3 3" xfId="22386" xr:uid="{5F0E9CDE-9B81-4A5E-8234-74ACFB78720D}"/>
    <cellStyle name="Normal 2 4 5 3 4 4" xfId="9740" xr:uid="{C90A0652-342C-4441-9ABD-42D41D29ED1D}"/>
    <cellStyle name="Normal 2 4 5 3 4 5" xfId="18169" xr:uid="{1511DE78-F6E1-4C44-BD46-FB0B7C51C440}"/>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16" xr:uid="{DA26FA5B-0A9E-401A-84CD-7D399F2964E7}"/>
    <cellStyle name="Normal 2 4 5 3 5 2 2 3" xfId="24944" xr:uid="{170D90B1-19A9-4C92-B6EB-E2B5CE70983A}"/>
    <cellStyle name="Normal 2 4 5 3 5 2 3" xfId="12298" xr:uid="{C0A9C61C-6263-4C6A-8C98-E9B113A83EC1}"/>
    <cellStyle name="Normal 2 4 5 3 5 2 4" xfId="20727" xr:uid="{DC680387-9D58-4A8B-B612-CB746BEBBA94}"/>
    <cellStyle name="Normal 2 4 5 3 5 3" xfId="5942" xr:uid="{00000000-0005-0000-0000-0000A5100000}"/>
    <cellStyle name="Normal 2 4 5 3 5 3 2" xfId="14371" xr:uid="{F8617273-464D-4533-9EB3-0F374605AE71}"/>
    <cellStyle name="Normal 2 4 5 3 5 3 3" xfId="22799" xr:uid="{9872861A-D731-47A8-BB8E-E398DD36A6CB}"/>
    <cellStyle name="Normal 2 4 5 3 5 4" xfId="10153" xr:uid="{56E44A31-7CDD-4336-B63B-4D70EDF4ACED}"/>
    <cellStyle name="Normal 2 4 5 3 5 5" xfId="18582" xr:uid="{1BD5E96B-7151-4BC0-B2A1-9D766736B07D}"/>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9" xr:uid="{642E26BC-8378-4BCF-BD18-41F0194F8BAD}"/>
    <cellStyle name="Normal 2 4 5 3 6 2 2 3" xfId="25357" xr:uid="{1563B787-5AB9-47F8-B3D8-B7CDF35C85C9}"/>
    <cellStyle name="Normal 2 4 5 3 6 2 3" xfId="12711" xr:uid="{ED9A71F6-3A30-438D-8A48-B21CA1476E0F}"/>
    <cellStyle name="Normal 2 4 5 3 6 2 4" xfId="21140" xr:uid="{08D83FE2-620D-4D9E-8DC6-DB72292440B6}"/>
    <cellStyle name="Normal 2 4 5 3 6 3" xfId="6355" xr:uid="{00000000-0005-0000-0000-0000A9100000}"/>
    <cellStyle name="Normal 2 4 5 3 6 3 2" xfId="14784" xr:uid="{288371E9-CD98-4D63-AA9B-4281C2A9B743}"/>
    <cellStyle name="Normal 2 4 5 3 6 3 3" xfId="23212" xr:uid="{A30E6C16-69D0-4F1A-8D38-AF3F9F284A5B}"/>
    <cellStyle name="Normal 2 4 5 3 6 4" xfId="10566" xr:uid="{36E0102C-019C-414B-A34E-9BA8B44A64C2}"/>
    <cellStyle name="Normal 2 4 5 3 6 5" xfId="18995" xr:uid="{D02CC89C-86B8-4F1D-B6C5-4D86CB685708}"/>
    <cellStyle name="Normal 2 4 5 3 7" xfId="2483" xr:uid="{00000000-0005-0000-0000-0000AA100000}"/>
    <cellStyle name="Normal 2 4 5 3 7 2" xfId="6768" xr:uid="{00000000-0005-0000-0000-0000AB100000}"/>
    <cellStyle name="Normal 2 4 5 3 7 2 2" xfId="15197" xr:uid="{D9AC0B57-2496-4526-9C8C-50362ADFF5C0}"/>
    <cellStyle name="Normal 2 4 5 3 7 2 3" xfId="23625" xr:uid="{82FB7037-C64D-4888-ACB3-1A902BE6BCB1}"/>
    <cellStyle name="Normal 2 4 5 3 7 3" xfId="10979" xr:uid="{98FA9279-3665-4066-9FAC-3382C738621E}"/>
    <cellStyle name="Normal 2 4 5 3 7 4" xfId="19408" xr:uid="{A7EF1E8C-0A73-438E-80D3-39E2A59DAD51}"/>
    <cellStyle name="Normal 2 4 5 3 8" xfId="4702" xr:uid="{00000000-0005-0000-0000-0000AC100000}"/>
    <cellStyle name="Normal 2 4 5 3 8 2" xfId="13131" xr:uid="{745133FC-2266-4DD9-9AB5-9760DA388378}"/>
    <cellStyle name="Normal 2 4 5 3 8 3" xfId="21559" xr:uid="{E83D5BB1-81E5-4F9A-99ED-FA860F20B296}"/>
    <cellStyle name="Normal 2 4 5 3 9" xfId="8913" xr:uid="{76C21075-C10F-42D8-93CB-62DE3DF26F82}"/>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92" xr:uid="{6B2D7690-1779-4F86-BB63-B0F6D7D93D0E}"/>
    <cellStyle name="Normal 2 4 5 4 2 2 2 3" xfId="24120" xr:uid="{8960BCDB-F612-4AC4-9CEF-1FBBC1706175}"/>
    <cellStyle name="Normal 2 4 5 4 2 2 3" xfId="11474" xr:uid="{35B0E278-10CA-4C5C-80B9-83965B1CC1C6}"/>
    <cellStyle name="Normal 2 4 5 4 2 2 4" xfId="19903" xr:uid="{F2FA5550-55AA-4CA0-88E1-392D9E5CA81A}"/>
    <cellStyle name="Normal 2 4 5 4 2 3" xfId="5118" xr:uid="{00000000-0005-0000-0000-0000B1100000}"/>
    <cellStyle name="Normal 2 4 5 4 2 3 2" xfId="13547" xr:uid="{2B3BB3B5-0113-4755-BB18-395C92556F18}"/>
    <cellStyle name="Normal 2 4 5 4 2 3 3" xfId="21975" xr:uid="{651A77A6-9781-4E2B-9EAA-677408E4B2CC}"/>
    <cellStyle name="Normal 2 4 5 4 2 4" xfId="9329" xr:uid="{967F3FA9-9EF4-4CEF-9A16-89A12DB7BF06}"/>
    <cellStyle name="Normal 2 4 5 4 2 5" xfId="17758" xr:uid="{13A5CD41-780A-435B-A639-CA843F637B85}"/>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105" xr:uid="{476AAB77-D295-4E8F-98EA-7DC185F03ADF}"/>
    <cellStyle name="Normal 2 4 5 4 3 2 2 3" xfId="24533" xr:uid="{E2787F5F-766B-4B34-BB2D-0D75219CCD2C}"/>
    <cellStyle name="Normal 2 4 5 4 3 2 3" xfId="11887" xr:uid="{70F370C8-80D6-482F-B0C0-E8DDE6C15BF8}"/>
    <cellStyle name="Normal 2 4 5 4 3 2 4" xfId="20316" xr:uid="{EB4945FC-F805-4B6C-8285-A90A864FC931}"/>
    <cellStyle name="Normal 2 4 5 4 3 3" xfId="5531" xr:uid="{00000000-0005-0000-0000-0000B5100000}"/>
    <cellStyle name="Normal 2 4 5 4 3 3 2" xfId="13960" xr:uid="{EC5F0EB4-EE41-4132-8F61-96B839FFD4A2}"/>
    <cellStyle name="Normal 2 4 5 4 3 3 3" xfId="22388" xr:uid="{3EA385F3-E199-4AF2-906F-BF00AA962824}"/>
    <cellStyle name="Normal 2 4 5 4 3 4" xfId="9742" xr:uid="{2FB400D6-5C80-48D3-A604-F5DB81D08F98}"/>
    <cellStyle name="Normal 2 4 5 4 3 5" xfId="18171" xr:uid="{FA30C7BC-C80B-4D54-B759-E6715E6300F5}"/>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8" xr:uid="{A01FC30C-A620-4103-B0A7-ACF710670B71}"/>
    <cellStyle name="Normal 2 4 5 4 4 2 2 3" xfId="24946" xr:uid="{C839A85B-A835-454B-9D74-ECAE03EADA52}"/>
    <cellStyle name="Normal 2 4 5 4 4 2 3" xfId="12300" xr:uid="{01EBC749-CBD2-4233-A881-250573092B4B}"/>
    <cellStyle name="Normal 2 4 5 4 4 2 4" xfId="20729" xr:uid="{21313F92-6A55-4D34-9E46-D3F76D5C9614}"/>
    <cellStyle name="Normal 2 4 5 4 4 3" xfId="5944" xr:uid="{00000000-0005-0000-0000-0000B9100000}"/>
    <cellStyle name="Normal 2 4 5 4 4 3 2" xfId="14373" xr:uid="{C8FD9D4F-5BFE-47BE-8AB1-CF4A3FB09B87}"/>
    <cellStyle name="Normal 2 4 5 4 4 3 3" xfId="22801" xr:uid="{F365672D-06B3-4860-8BA9-100F918FD159}"/>
    <cellStyle name="Normal 2 4 5 4 4 4" xfId="10155" xr:uid="{B19BCC16-8821-4A9A-8748-8F49C634C194}"/>
    <cellStyle name="Normal 2 4 5 4 4 5" xfId="18584" xr:uid="{85BF0E1D-161D-4C90-BAB9-4DE0BEE85480}"/>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31" xr:uid="{F12D69D5-40BC-410C-A5B6-D501FAC3C068}"/>
    <cellStyle name="Normal 2 4 5 4 5 2 2 3" xfId="25359" xr:uid="{231A016C-AADD-45FA-8410-AA0CFA6E6996}"/>
    <cellStyle name="Normal 2 4 5 4 5 2 3" xfId="12713" xr:uid="{7CD51DDF-5303-4456-9278-3BAA3518165D}"/>
    <cellStyle name="Normal 2 4 5 4 5 2 4" xfId="21142" xr:uid="{081E513C-9F79-4AE1-9479-AC0309794FC4}"/>
    <cellStyle name="Normal 2 4 5 4 5 3" xfId="6357" xr:uid="{00000000-0005-0000-0000-0000BD100000}"/>
    <cellStyle name="Normal 2 4 5 4 5 3 2" xfId="14786" xr:uid="{D31A41CE-2FBB-4C0A-9A86-B8B7901B14F4}"/>
    <cellStyle name="Normal 2 4 5 4 5 3 3" xfId="23214" xr:uid="{D138F5A2-578F-40C0-8A42-E6F974DDA1BD}"/>
    <cellStyle name="Normal 2 4 5 4 5 4" xfId="10568" xr:uid="{403950CE-696B-4DE8-8051-17B22D829AF3}"/>
    <cellStyle name="Normal 2 4 5 4 5 5" xfId="18997" xr:uid="{D1380AF4-C3A6-4F01-85A9-8794343B17EB}"/>
    <cellStyle name="Normal 2 4 5 4 6" xfId="2485" xr:uid="{00000000-0005-0000-0000-0000BE100000}"/>
    <cellStyle name="Normal 2 4 5 4 6 2" xfId="6770" xr:uid="{00000000-0005-0000-0000-0000BF100000}"/>
    <cellStyle name="Normal 2 4 5 4 6 2 2" xfId="15199" xr:uid="{B275E430-4CDE-4E38-A579-A6077B8A602A}"/>
    <cellStyle name="Normal 2 4 5 4 6 2 3" xfId="23627" xr:uid="{4829A8B5-AFEC-4995-851F-47E74C15A99D}"/>
    <cellStyle name="Normal 2 4 5 4 6 3" xfId="10981" xr:uid="{646E1BDA-30EE-460E-84D4-8B64BE5FB291}"/>
    <cellStyle name="Normal 2 4 5 4 6 4" xfId="19410" xr:uid="{BE17E56C-606B-4C4C-A6F9-55986DC55E8A}"/>
    <cellStyle name="Normal 2 4 5 4 7" xfId="4704" xr:uid="{00000000-0005-0000-0000-0000C0100000}"/>
    <cellStyle name="Normal 2 4 5 4 7 2" xfId="13133" xr:uid="{AC253CAD-39A5-4D7E-93B4-9CE8A0C4D861}"/>
    <cellStyle name="Normal 2 4 5 4 7 3" xfId="21561" xr:uid="{1CF8411A-2BF3-4240-BA70-48A2D2C969A9}"/>
    <cellStyle name="Normal 2 4 5 4 8" xfId="8915" xr:uid="{08BD0F4C-A14E-4FEE-83C4-0583D78A346E}"/>
    <cellStyle name="Normal 2 4 5 4 9" xfId="17344" xr:uid="{F9611A6E-EFD9-446F-98DF-36B412451E57}"/>
    <cellStyle name="Normal 2 4 5 5" xfId="793" xr:uid="{00000000-0005-0000-0000-0000C1100000}"/>
    <cellStyle name="Normal 2 4 5 5 2" xfId="3032" xr:uid="{00000000-0005-0000-0000-0000C2100000}"/>
    <cellStyle name="Normal 2 4 5 5 2 2" xfId="7256" xr:uid="{00000000-0005-0000-0000-0000C3100000}"/>
    <cellStyle name="Normal 2 4 5 5 2 2 2" xfId="15685" xr:uid="{336C5AF9-0089-48E2-AE05-E1A44BF9DCB9}"/>
    <cellStyle name="Normal 2 4 5 5 2 2 3" xfId="24113" xr:uid="{86BD7838-41CE-4A57-BB1B-F15330F1292A}"/>
    <cellStyle name="Normal 2 4 5 5 2 3" xfId="11467" xr:uid="{EDA8B838-1E85-4CFC-91DA-B6E37FCCCE1E}"/>
    <cellStyle name="Normal 2 4 5 5 2 4" xfId="19896" xr:uid="{846048AC-DB9A-4172-9C42-E2F24B7F98A7}"/>
    <cellStyle name="Normal 2 4 5 5 3" xfId="5111" xr:uid="{00000000-0005-0000-0000-0000C4100000}"/>
    <cellStyle name="Normal 2 4 5 5 3 2" xfId="13540" xr:uid="{36A388DA-7851-40B2-89C0-7C098137C9D6}"/>
    <cellStyle name="Normal 2 4 5 5 3 3" xfId="21968" xr:uid="{00D20010-AA6C-413B-957C-6AE244520620}"/>
    <cellStyle name="Normal 2 4 5 5 4" xfId="9322" xr:uid="{5FD188E9-3CE9-4847-B3EA-2DF33E6B253C}"/>
    <cellStyle name="Normal 2 4 5 5 5" xfId="17751" xr:uid="{B506209A-776A-494A-844B-2DCC2718291D}"/>
    <cellStyle name="Normal 2 4 5 6" xfId="1215" xr:uid="{00000000-0005-0000-0000-0000C5100000}"/>
    <cellStyle name="Normal 2 4 5 6 2" xfId="3445" xr:uid="{00000000-0005-0000-0000-0000C6100000}"/>
    <cellStyle name="Normal 2 4 5 6 2 2" xfId="7669" xr:uid="{00000000-0005-0000-0000-0000C7100000}"/>
    <cellStyle name="Normal 2 4 5 6 2 2 2" xfId="16098" xr:uid="{635CDD29-7BCD-4E2F-BC0B-0D2CAA2D1AC6}"/>
    <cellStyle name="Normal 2 4 5 6 2 2 3" xfId="24526" xr:uid="{B58402E4-3F28-47A5-BE64-4A7576A783AB}"/>
    <cellStyle name="Normal 2 4 5 6 2 3" xfId="11880" xr:uid="{D99C8894-08BF-40CC-85B5-BF5C38B2C494}"/>
    <cellStyle name="Normal 2 4 5 6 2 4" xfId="20309" xr:uid="{56EDDEDC-01E2-496F-82D9-176DE86CB06D}"/>
    <cellStyle name="Normal 2 4 5 6 3" xfId="5524" xr:uid="{00000000-0005-0000-0000-0000C8100000}"/>
    <cellStyle name="Normal 2 4 5 6 3 2" xfId="13953" xr:uid="{D53A0D71-9C1F-4433-BD02-BF2EA349F61B}"/>
    <cellStyle name="Normal 2 4 5 6 3 3" xfId="22381" xr:uid="{8E8D32C0-750C-4AD3-97EB-9DB04804A240}"/>
    <cellStyle name="Normal 2 4 5 6 4" xfId="9735" xr:uid="{8B0AFE74-5D52-42DF-892D-6F81D5542D3C}"/>
    <cellStyle name="Normal 2 4 5 6 5" xfId="18164" xr:uid="{3385A75D-EAC6-4D2D-A580-D883131AF459}"/>
    <cellStyle name="Normal 2 4 5 7" xfId="1628" xr:uid="{00000000-0005-0000-0000-0000C9100000}"/>
    <cellStyle name="Normal 2 4 5 7 2" xfId="3858" xr:uid="{00000000-0005-0000-0000-0000CA100000}"/>
    <cellStyle name="Normal 2 4 5 7 2 2" xfId="8082" xr:uid="{00000000-0005-0000-0000-0000CB100000}"/>
    <cellStyle name="Normal 2 4 5 7 2 2 2" xfId="16511" xr:uid="{54C77E3B-AE0D-461A-A059-5A023D4D53E0}"/>
    <cellStyle name="Normal 2 4 5 7 2 2 3" xfId="24939" xr:uid="{8F04F1D2-7493-43EC-9848-9059784EED7E}"/>
    <cellStyle name="Normal 2 4 5 7 2 3" xfId="12293" xr:uid="{114644F9-ACC7-4FED-BEC1-69BADFC69EF0}"/>
    <cellStyle name="Normal 2 4 5 7 2 4" xfId="20722" xr:uid="{729BC478-E34C-449D-98D8-8FF216BD62B3}"/>
    <cellStyle name="Normal 2 4 5 7 3" xfId="5937" xr:uid="{00000000-0005-0000-0000-0000CC100000}"/>
    <cellStyle name="Normal 2 4 5 7 3 2" xfId="14366" xr:uid="{807F4DFA-751F-4DD4-869F-5F85652FFF34}"/>
    <cellStyle name="Normal 2 4 5 7 3 3" xfId="22794" xr:uid="{66E9647E-D6F2-4FC5-BFBD-FA96F39B10D3}"/>
    <cellStyle name="Normal 2 4 5 7 4" xfId="10148" xr:uid="{A32EECD7-D0A9-4660-9637-BA6E3A98F811}"/>
    <cellStyle name="Normal 2 4 5 7 5" xfId="18577" xr:uid="{F8F3E6B8-F1BC-4742-93F7-CE33608341AE}"/>
    <cellStyle name="Normal 2 4 5 8" xfId="2042" xr:uid="{00000000-0005-0000-0000-0000CD100000}"/>
    <cellStyle name="Normal 2 4 5 8 2" xfId="4271" xr:uid="{00000000-0005-0000-0000-0000CE100000}"/>
    <cellStyle name="Normal 2 4 5 8 2 2" xfId="8495" xr:uid="{00000000-0005-0000-0000-0000CF100000}"/>
    <cellStyle name="Normal 2 4 5 8 2 2 2" xfId="16924" xr:uid="{9AE8EBC3-B3F5-4788-A53C-CD7DC415BCC9}"/>
    <cellStyle name="Normal 2 4 5 8 2 2 3" xfId="25352" xr:uid="{0E535ECE-8D59-4D56-86F4-470E7BBA29D2}"/>
    <cellStyle name="Normal 2 4 5 8 2 3" xfId="12706" xr:uid="{A5DA0324-E075-461D-B89F-B6471CFE0B31}"/>
    <cellStyle name="Normal 2 4 5 8 2 4" xfId="21135" xr:uid="{79ACBF1D-AC0B-4C94-9D3B-F0E7A7CAF660}"/>
    <cellStyle name="Normal 2 4 5 8 3" xfId="6350" xr:uid="{00000000-0005-0000-0000-0000D0100000}"/>
    <cellStyle name="Normal 2 4 5 8 3 2" xfId="14779" xr:uid="{63552E1F-AB2A-46F3-9BD9-B5770668C205}"/>
    <cellStyle name="Normal 2 4 5 8 3 3" xfId="23207" xr:uid="{EC8B7258-EECE-4F32-AFF8-863028532FE7}"/>
    <cellStyle name="Normal 2 4 5 8 4" xfId="10561" xr:uid="{25346501-9B3D-44CF-99B3-8A40FB0C681F}"/>
    <cellStyle name="Normal 2 4 5 8 5" xfId="18990" xr:uid="{C19EDCFD-C356-4C28-B972-B858F719D2BB}"/>
    <cellStyle name="Normal 2 4 5 9" xfId="2478" xr:uid="{00000000-0005-0000-0000-0000D1100000}"/>
    <cellStyle name="Normal 2 4 5 9 2" xfId="6763" xr:uid="{00000000-0005-0000-0000-0000D2100000}"/>
    <cellStyle name="Normal 2 4 5 9 2 2" xfId="15192" xr:uid="{BDA77D09-3F0B-4B3E-9669-779D109ED38E}"/>
    <cellStyle name="Normal 2 4 5 9 2 3" xfId="23620" xr:uid="{875E3710-23E5-434A-A607-C4624A428C83}"/>
    <cellStyle name="Normal 2 4 5 9 3" xfId="10974" xr:uid="{E3DDB3EE-CA19-4D54-A241-5D370424C0E6}"/>
    <cellStyle name="Normal 2 4 5 9 4" xfId="19403" xr:uid="{DF548EBB-6625-4106-B4A0-C3EEF35BB37A}"/>
    <cellStyle name="Normal 2 4 6" xfId="311" xr:uid="{00000000-0005-0000-0000-0000D3100000}"/>
    <cellStyle name="Normal 2 4 7" xfId="312" xr:uid="{00000000-0005-0000-0000-0000D4100000}"/>
    <cellStyle name="Normal 2 4 7 10" xfId="17345" xr:uid="{C51F58F4-04BF-4FFD-8F2F-131D451D4E41}"/>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94" xr:uid="{7B68FE04-F5F4-4B6D-BA84-E22ABB62AE26}"/>
    <cellStyle name="Normal 2 4 7 2 2 2 2 3" xfId="24122" xr:uid="{59E1D904-159F-4721-8C03-ACE93630485A}"/>
    <cellStyle name="Normal 2 4 7 2 2 2 3" xfId="11476" xr:uid="{10F68250-8430-429E-9BAD-4AD92EEA2407}"/>
    <cellStyle name="Normal 2 4 7 2 2 2 4" xfId="19905" xr:uid="{5470196B-CDD5-48C7-AA0F-A9D2EDD31FDE}"/>
    <cellStyle name="Normal 2 4 7 2 2 3" xfId="5120" xr:uid="{00000000-0005-0000-0000-0000D9100000}"/>
    <cellStyle name="Normal 2 4 7 2 2 3 2" xfId="13549" xr:uid="{45A2869D-6666-48C3-A533-8A3E1551EF75}"/>
    <cellStyle name="Normal 2 4 7 2 2 3 3" xfId="21977" xr:uid="{148181D2-58A6-4BB0-92D8-353D2F483A16}"/>
    <cellStyle name="Normal 2 4 7 2 2 4" xfId="9331" xr:uid="{2288B36F-66DA-4220-9EEE-9FBAEF7EFC5D}"/>
    <cellStyle name="Normal 2 4 7 2 2 5" xfId="17760" xr:uid="{2BA46E48-D9B3-4BF5-8321-04DBA21267F4}"/>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7" xr:uid="{03CC2E7E-D9C8-4D5E-9618-60A61520656A}"/>
    <cellStyle name="Normal 2 4 7 2 3 2 2 3" xfId="24535" xr:uid="{4112DA4C-52D7-4CC3-9A82-7776F5473438}"/>
    <cellStyle name="Normal 2 4 7 2 3 2 3" xfId="11889" xr:uid="{F0E2EA23-1630-45A8-8826-4A40F1B788A0}"/>
    <cellStyle name="Normal 2 4 7 2 3 2 4" xfId="20318" xr:uid="{18C31EBA-3B3F-4100-87E1-F792EE13A3E1}"/>
    <cellStyle name="Normal 2 4 7 2 3 3" xfId="5533" xr:uid="{00000000-0005-0000-0000-0000DD100000}"/>
    <cellStyle name="Normal 2 4 7 2 3 3 2" xfId="13962" xr:uid="{88A7FFBD-3006-4379-AD77-90356185C6C3}"/>
    <cellStyle name="Normal 2 4 7 2 3 3 3" xfId="22390" xr:uid="{E98E7BE5-EF60-4878-BF1F-4613D6696C35}"/>
    <cellStyle name="Normal 2 4 7 2 3 4" xfId="9744" xr:uid="{E616A7B4-7B68-4FF9-A506-7F9377227FF5}"/>
    <cellStyle name="Normal 2 4 7 2 3 5" xfId="18173" xr:uid="{84B70EF7-765D-4C58-9C36-EE079D2D0157}"/>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20" xr:uid="{6DB27079-F512-4E81-B451-32C56D978C2B}"/>
    <cellStyle name="Normal 2 4 7 2 4 2 2 3" xfId="24948" xr:uid="{51817A5E-BE00-4932-A5FD-588F616E6E0B}"/>
    <cellStyle name="Normal 2 4 7 2 4 2 3" xfId="12302" xr:uid="{1C1088BD-CB48-419C-8012-3CE939622565}"/>
    <cellStyle name="Normal 2 4 7 2 4 2 4" xfId="20731" xr:uid="{24BEBF74-3E16-4361-BCFA-0072E4D1E9CF}"/>
    <cellStyle name="Normal 2 4 7 2 4 3" xfId="5946" xr:uid="{00000000-0005-0000-0000-0000E1100000}"/>
    <cellStyle name="Normal 2 4 7 2 4 3 2" xfId="14375" xr:uid="{668108AA-3820-443D-AAC8-36C35FAB5BF6}"/>
    <cellStyle name="Normal 2 4 7 2 4 3 3" xfId="22803" xr:uid="{868B4DC1-03AC-478B-9A28-9405687D455C}"/>
    <cellStyle name="Normal 2 4 7 2 4 4" xfId="10157" xr:uid="{C9455B71-1BC2-465C-A031-78D4A18DA689}"/>
    <cellStyle name="Normal 2 4 7 2 4 5" xfId="18586" xr:uid="{C4CA25B5-31EE-4475-A0E4-57CD5F7E3CAB}"/>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33" xr:uid="{59BA6D02-BC27-4C84-B5D3-06E5F88995AE}"/>
    <cellStyle name="Normal 2 4 7 2 5 2 2 3" xfId="25361" xr:uid="{94868DD4-302B-4234-9264-A5D2DFE18DA0}"/>
    <cellStyle name="Normal 2 4 7 2 5 2 3" xfId="12715" xr:uid="{DDFD3C8C-A44F-4441-938C-B93FABF9E715}"/>
    <cellStyle name="Normal 2 4 7 2 5 2 4" xfId="21144" xr:uid="{299EF7CB-4342-4795-BB4C-ADD385FA053A}"/>
    <cellStyle name="Normal 2 4 7 2 5 3" xfId="6359" xr:uid="{00000000-0005-0000-0000-0000E5100000}"/>
    <cellStyle name="Normal 2 4 7 2 5 3 2" xfId="14788" xr:uid="{8CDDD230-014D-4510-8C41-04FFC8ADC030}"/>
    <cellStyle name="Normal 2 4 7 2 5 3 3" xfId="23216" xr:uid="{819B6DFD-C86C-4CBF-BFD5-BFBEA17F968C}"/>
    <cellStyle name="Normal 2 4 7 2 5 4" xfId="10570" xr:uid="{C1841C39-2627-4C46-AC9D-117D1B53AC39}"/>
    <cellStyle name="Normal 2 4 7 2 5 5" xfId="18999" xr:uid="{B15362C4-DC56-47E7-BCD0-AAA979780647}"/>
    <cellStyle name="Normal 2 4 7 2 6" xfId="2487" xr:uid="{00000000-0005-0000-0000-0000E6100000}"/>
    <cellStyle name="Normal 2 4 7 2 6 2" xfId="6772" xr:uid="{00000000-0005-0000-0000-0000E7100000}"/>
    <cellStyle name="Normal 2 4 7 2 6 2 2" xfId="15201" xr:uid="{93709DCD-29A0-474E-B7F0-9DB4382CAA4D}"/>
    <cellStyle name="Normal 2 4 7 2 6 2 3" xfId="23629" xr:uid="{894CDDD0-ED80-426B-B135-1AA07E41428F}"/>
    <cellStyle name="Normal 2 4 7 2 6 3" xfId="10983" xr:uid="{711BBDE6-446E-4F5D-AE5E-F09B7EF7F839}"/>
    <cellStyle name="Normal 2 4 7 2 6 4" xfId="19412" xr:uid="{E595F48C-F9F3-4361-9EDE-EF9711EF7CEE}"/>
    <cellStyle name="Normal 2 4 7 2 7" xfId="4706" xr:uid="{00000000-0005-0000-0000-0000E8100000}"/>
    <cellStyle name="Normal 2 4 7 2 7 2" xfId="13135" xr:uid="{18713EAB-FCB7-4CEE-ACBE-C5D19961E346}"/>
    <cellStyle name="Normal 2 4 7 2 7 3" xfId="21563" xr:uid="{C04A3D8C-EE38-4F0A-9E7B-C4504D487729}"/>
    <cellStyle name="Normal 2 4 7 2 8" xfId="8917" xr:uid="{7EE7EF59-4081-4E26-8D9C-55F9E43A6A3C}"/>
    <cellStyle name="Normal 2 4 7 2 9" xfId="17346" xr:uid="{1537907B-10AE-4531-86C3-8C4C7C7DB1B0}"/>
    <cellStyle name="Normal 2 4 7 3" xfId="801" xr:uid="{00000000-0005-0000-0000-0000E9100000}"/>
    <cellStyle name="Normal 2 4 7 3 2" xfId="3040" xr:uid="{00000000-0005-0000-0000-0000EA100000}"/>
    <cellStyle name="Normal 2 4 7 3 2 2" xfId="7264" xr:uid="{00000000-0005-0000-0000-0000EB100000}"/>
    <cellStyle name="Normal 2 4 7 3 2 2 2" xfId="15693" xr:uid="{3814C397-25F6-414E-AAC7-27DCFA3A393A}"/>
    <cellStyle name="Normal 2 4 7 3 2 2 3" xfId="24121" xr:uid="{FC653D0B-5373-4218-83DE-16321BFEE4E3}"/>
    <cellStyle name="Normal 2 4 7 3 2 3" xfId="11475" xr:uid="{325370FD-D116-44DE-AF65-9C862DFEF940}"/>
    <cellStyle name="Normal 2 4 7 3 2 4" xfId="19904" xr:uid="{6EE3649A-7CE3-4370-91AE-719C4370A402}"/>
    <cellStyle name="Normal 2 4 7 3 3" xfId="5119" xr:uid="{00000000-0005-0000-0000-0000EC100000}"/>
    <cellStyle name="Normal 2 4 7 3 3 2" xfId="13548" xr:uid="{9FA513BB-B9DF-4A72-8306-5DB81620B4E3}"/>
    <cellStyle name="Normal 2 4 7 3 3 3" xfId="21976" xr:uid="{B496749B-5DDB-4BE0-AB9B-B9A87CE19FDB}"/>
    <cellStyle name="Normal 2 4 7 3 4" xfId="9330" xr:uid="{11712CF6-7C3F-4B5E-93A3-45FF773F06D5}"/>
    <cellStyle name="Normal 2 4 7 3 5" xfId="17759" xr:uid="{F49285E3-52ED-4275-AEB3-925C36B4C46B}"/>
    <cellStyle name="Normal 2 4 7 4" xfId="1223" xr:uid="{00000000-0005-0000-0000-0000ED100000}"/>
    <cellStyle name="Normal 2 4 7 4 2" xfId="3453" xr:uid="{00000000-0005-0000-0000-0000EE100000}"/>
    <cellStyle name="Normal 2 4 7 4 2 2" xfId="7677" xr:uid="{00000000-0005-0000-0000-0000EF100000}"/>
    <cellStyle name="Normal 2 4 7 4 2 2 2" xfId="16106" xr:uid="{399B75A2-CB9A-46C9-9BCE-371E66A65443}"/>
    <cellStyle name="Normal 2 4 7 4 2 2 3" xfId="24534" xr:uid="{D4FF77F1-B693-4488-B5D5-1178AF6F6183}"/>
    <cellStyle name="Normal 2 4 7 4 2 3" xfId="11888" xr:uid="{17681705-87EE-403E-83BF-B93211606A3A}"/>
    <cellStyle name="Normal 2 4 7 4 2 4" xfId="20317" xr:uid="{F18ADDD4-5800-4EC2-B9D9-0E9678DB218B}"/>
    <cellStyle name="Normal 2 4 7 4 3" xfId="5532" xr:uid="{00000000-0005-0000-0000-0000F0100000}"/>
    <cellStyle name="Normal 2 4 7 4 3 2" xfId="13961" xr:uid="{AA1226C3-D90B-4EC6-BEDC-B3B050A5FD82}"/>
    <cellStyle name="Normal 2 4 7 4 3 3" xfId="22389" xr:uid="{41BA9234-DAAD-481A-A8B2-C4F6BF725E08}"/>
    <cellStyle name="Normal 2 4 7 4 4" xfId="9743" xr:uid="{21F4EB28-4E85-42BE-BB11-32DFD035B8AE}"/>
    <cellStyle name="Normal 2 4 7 4 5" xfId="18172" xr:uid="{88E990EA-5FF6-42EC-A31A-0DACD642AB76}"/>
    <cellStyle name="Normal 2 4 7 5" xfId="1636" xr:uid="{00000000-0005-0000-0000-0000F1100000}"/>
    <cellStyle name="Normal 2 4 7 5 2" xfId="3866" xr:uid="{00000000-0005-0000-0000-0000F2100000}"/>
    <cellStyle name="Normal 2 4 7 5 2 2" xfId="8090" xr:uid="{00000000-0005-0000-0000-0000F3100000}"/>
    <cellStyle name="Normal 2 4 7 5 2 2 2" xfId="16519" xr:uid="{FB885A0A-EB70-4245-9D13-1D1D68D83CF9}"/>
    <cellStyle name="Normal 2 4 7 5 2 2 3" xfId="24947" xr:uid="{3F226F47-6134-47E3-B762-D0C2F7AEB342}"/>
    <cellStyle name="Normal 2 4 7 5 2 3" xfId="12301" xr:uid="{B40A4E82-9124-4E9F-A149-B99559C1BC1B}"/>
    <cellStyle name="Normal 2 4 7 5 2 4" xfId="20730" xr:uid="{E32CCB73-D901-4DE2-BEEC-E28BCE80E381}"/>
    <cellStyle name="Normal 2 4 7 5 3" xfId="5945" xr:uid="{00000000-0005-0000-0000-0000F4100000}"/>
    <cellStyle name="Normal 2 4 7 5 3 2" xfId="14374" xr:uid="{DFDBF675-3E1B-4E55-A702-35BDB3031432}"/>
    <cellStyle name="Normal 2 4 7 5 3 3" xfId="22802" xr:uid="{7B18C25A-AFD0-494D-9C66-72E9A5691E05}"/>
    <cellStyle name="Normal 2 4 7 5 4" xfId="10156" xr:uid="{3076FD49-A83D-497F-98AF-EFFC40740762}"/>
    <cellStyle name="Normal 2 4 7 5 5" xfId="18585" xr:uid="{E0686207-69E4-4A9C-B0CF-FC530710C3B2}"/>
    <cellStyle name="Normal 2 4 7 6" xfId="2050" xr:uid="{00000000-0005-0000-0000-0000F5100000}"/>
    <cellStyle name="Normal 2 4 7 6 2" xfId="4279" xr:uid="{00000000-0005-0000-0000-0000F6100000}"/>
    <cellStyle name="Normal 2 4 7 6 2 2" xfId="8503" xr:uid="{00000000-0005-0000-0000-0000F7100000}"/>
    <cellStyle name="Normal 2 4 7 6 2 2 2" xfId="16932" xr:uid="{0DAF10FA-F6E0-4D7D-BA81-E2CD6787FA3F}"/>
    <cellStyle name="Normal 2 4 7 6 2 2 3" xfId="25360" xr:uid="{984549FC-16BE-4B81-8B0E-3C0C68FF7FBE}"/>
    <cellStyle name="Normal 2 4 7 6 2 3" xfId="12714" xr:uid="{A9E59E43-538C-43F7-96E7-DE8E5E7C33D0}"/>
    <cellStyle name="Normal 2 4 7 6 2 4" xfId="21143" xr:uid="{617263DE-4A6A-4F5C-9E0D-B8F06FAEFE9E}"/>
    <cellStyle name="Normal 2 4 7 6 3" xfId="6358" xr:uid="{00000000-0005-0000-0000-0000F8100000}"/>
    <cellStyle name="Normal 2 4 7 6 3 2" xfId="14787" xr:uid="{56B12853-8754-4A77-8FBE-207E5C10A110}"/>
    <cellStyle name="Normal 2 4 7 6 3 3" xfId="23215" xr:uid="{3EE89574-6F33-423A-A44A-7E0DB638212F}"/>
    <cellStyle name="Normal 2 4 7 6 4" xfId="10569" xr:uid="{6A8A866A-5EFA-4D79-81C1-8EEA1BA0072B}"/>
    <cellStyle name="Normal 2 4 7 6 5" xfId="18998" xr:uid="{96D14D23-CCA6-4AB8-8A14-F6AD36416CCC}"/>
    <cellStyle name="Normal 2 4 7 7" xfId="2486" xr:uid="{00000000-0005-0000-0000-0000F9100000}"/>
    <cellStyle name="Normal 2 4 7 7 2" xfId="6771" xr:uid="{00000000-0005-0000-0000-0000FA100000}"/>
    <cellStyle name="Normal 2 4 7 7 2 2" xfId="15200" xr:uid="{262FD964-A001-4B40-9B74-23FFE5BF2F1B}"/>
    <cellStyle name="Normal 2 4 7 7 2 3" xfId="23628" xr:uid="{8E34FE24-176B-4CBA-BCAB-8B0992B27A86}"/>
    <cellStyle name="Normal 2 4 7 7 3" xfId="10982" xr:uid="{3A60F130-757E-4A76-8B86-E3F5BD9327CF}"/>
    <cellStyle name="Normal 2 4 7 7 4" xfId="19411" xr:uid="{48F382C6-EEC4-4B98-B79C-FA723BA7A076}"/>
    <cellStyle name="Normal 2 4 7 8" xfId="4705" xr:uid="{00000000-0005-0000-0000-0000FB100000}"/>
    <cellStyle name="Normal 2 4 7 8 2" xfId="13134" xr:uid="{C883A5D5-6886-4EE7-A153-D15DC97DC105}"/>
    <cellStyle name="Normal 2 4 7 8 3" xfId="21562" xr:uid="{BE9450D3-805A-49FA-ABE7-55009463C14B}"/>
    <cellStyle name="Normal 2 4 7 9" xfId="8916" xr:uid="{E8DF7736-C378-4BE5-8594-2A5076286D64}"/>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95" xr:uid="{245E3336-FF00-439D-AD43-E38D7A18B3C1}"/>
    <cellStyle name="Normal 2 4 8 2 2 2 3" xfId="24123" xr:uid="{8DABE94C-EE73-4E0A-8EFA-6489C2F5B04D}"/>
    <cellStyle name="Normal 2 4 8 2 2 3" xfId="11477" xr:uid="{E8464021-170D-4445-BDF8-DCDD455ECE02}"/>
    <cellStyle name="Normal 2 4 8 2 2 4" xfId="19906" xr:uid="{FABFDF46-BF0E-4256-95CB-051242D068BC}"/>
    <cellStyle name="Normal 2 4 8 2 3" xfId="5121" xr:uid="{00000000-0005-0000-0000-000000110000}"/>
    <cellStyle name="Normal 2 4 8 2 3 2" xfId="13550" xr:uid="{DB43F324-752E-4076-9C41-C023A0396953}"/>
    <cellStyle name="Normal 2 4 8 2 3 3" xfId="21978" xr:uid="{FF3D8D63-C7B1-4A3D-AC05-B63D48C74AD6}"/>
    <cellStyle name="Normal 2 4 8 2 4" xfId="9332" xr:uid="{A125F3DE-330D-49CF-937B-74A37FD0AED9}"/>
    <cellStyle name="Normal 2 4 8 2 5" xfId="17761" xr:uid="{5CA046AD-7CD5-4F54-9EBE-E70FEE03703D}"/>
    <cellStyle name="Normal 2 4 8 3" xfId="1225" xr:uid="{00000000-0005-0000-0000-000001110000}"/>
    <cellStyle name="Normal 2 4 8 3 2" xfId="3455" xr:uid="{00000000-0005-0000-0000-000002110000}"/>
    <cellStyle name="Normal 2 4 8 3 2 2" xfId="7679" xr:uid="{00000000-0005-0000-0000-000003110000}"/>
    <cellStyle name="Normal 2 4 8 3 2 2 2" xfId="16108" xr:uid="{8F28128C-12AA-4401-83CA-4E0361D0CDAD}"/>
    <cellStyle name="Normal 2 4 8 3 2 2 3" xfId="24536" xr:uid="{5DDF6421-5786-4309-A3A8-28AC57BC2982}"/>
    <cellStyle name="Normal 2 4 8 3 2 3" xfId="11890" xr:uid="{B37182A8-2474-4997-98BB-A2DC19E05100}"/>
    <cellStyle name="Normal 2 4 8 3 2 4" xfId="20319" xr:uid="{1184E748-E573-4C77-84D6-8AD1DF165BBE}"/>
    <cellStyle name="Normal 2 4 8 3 3" xfId="5534" xr:uid="{00000000-0005-0000-0000-000004110000}"/>
    <cellStyle name="Normal 2 4 8 3 3 2" xfId="13963" xr:uid="{4D973C71-3241-4814-A30A-DCAC735DA3B1}"/>
    <cellStyle name="Normal 2 4 8 3 3 3" xfId="22391" xr:uid="{F5B37E4A-5691-4E63-A758-874625469D0F}"/>
    <cellStyle name="Normal 2 4 8 3 4" xfId="9745" xr:uid="{EBD0E7AF-59F7-4B90-B804-19AD7BA95611}"/>
    <cellStyle name="Normal 2 4 8 3 5" xfId="18174" xr:uid="{EB7CB5F8-1D20-4CFA-9BC6-40905E1F094E}"/>
    <cellStyle name="Normal 2 4 8 4" xfId="1638" xr:uid="{00000000-0005-0000-0000-000005110000}"/>
    <cellStyle name="Normal 2 4 8 4 2" xfId="3868" xr:uid="{00000000-0005-0000-0000-000006110000}"/>
    <cellStyle name="Normal 2 4 8 4 2 2" xfId="8092" xr:uid="{00000000-0005-0000-0000-000007110000}"/>
    <cellStyle name="Normal 2 4 8 4 2 2 2" xfId="16521" xr:uid="{2B8B43C2-9D64-4DBF-9ED4-D49634D2E47B}"/>
    <cellStyle name="Normal 2 4 8 4 2 2 3" xfId="24949" xr:uid="{E6B52AA2-7A3E-49C2-97DB-450DEDC0BD03}"/>
    <cellStyle name="Normal 2 4 8 4 2 3" xfId="12303" xr:uid="{BA10B2FD-2708-40DA-A138-9C2B35C03B88}"/>
    <cellStyle name="Normal 2 4 8 4 2 4" xfId="20732" xr:uid="{8EAEF649-850A-40E8-9300-CCB2AB9C34CF}"/>
    <cellStyle name="Normal 2 4 8 4 3" xfId="5947" xr:uid="{00000000-0005-0000-0000-000008110000}"/>
    <cellStyle name="Normal 2 4 8 4 3 2" xfId="14376" xr:uid="{C60708DA-9018-4441-B97B-C1ADA8087C52}"/>
    <cellStyle name="Normal 2 4 8 4 3 3" xfId="22804" xr:uid="{5C3E777E-293E-4B41-B51E-71C920A6ED9D}"/>
    <cellStyle name="Normal 2 4 8 4 4" xfId="10158" xr:uid="{8546CEED-DD06-4E6C-9701-47C1F72B9EB4}"/>
    <cellStyle name="Normal 2 4 8 4 5" xfId="18587" xr:uid="{3EA410B2-E963-402E-9C3D-3023387D8695}"/>
    <cellStyle name="Normal 2 4 8 5" xfId="2052" xr:uid="{00000000-0005-0000-0000-000009110000}"/>
    <cellStyle name="Normal 2 4 8 5 2" xfId="4281" xr:uid="{00000000-0005-0000-0000-00000A110000}"/>
    <cellStyle name="Normal 2 4 8 5 2 2" xfId="8505" xr:uid="{00000000-0005-0000-0000-00000B110000}"/>
    <cellStyle name="Normal 2 4 8 5 2 2 2" xfId="16934" xr:uid="{F4C517D8-D961-44F3-B830-2D63B5CFD932}"/>
    <cellStyle name="Normal 2 4 8 5 2 2 3" xfId="25362" xr:uid="{B15BC637-D89F-4AD2-8669-960AEAD63201}"/>
    <cellStyle name="Normal 2 4 8 5 2 3" xfId="12716" xr:uid="{C97D73E8-9017-4D21-A2F5-9BEF4C06BBBD}"/>
    <cellStyle name="Normal 2 4 8 5 2 4" xfId="21145" xr:uid="{603927C7-63C5-4FB0-879F-593B887CB474}"/>
    <cellStyle name="Normal 2 4 8 5 3" xfId="6360" xr:uid="{00000000-0005-0000-0000-00000C110000}"/>
    <cellStyle name="Normal 2 4 8 5 3 2" xfId="14789" xr:uid="{6885D90C-D087-47C1-B547-336CB1B375B5}"/>
    <cellStyle name="Normal 2 4 8 5 3 3" xfId="23217" xr:uid="{4E5CB6F2-5B0F-4B8C-81FD-666D591BDA26}"/>
    <cellStyle name="Normal 2 4 8 5 4" xfId="10571" xr:uid="{5A3D4450-0145-4BE0-9593-AF96BA31AD16}"/>
    <cellStyle name="Normal 2 4 8 5 5" xfId="19000" xr:uid="{F08E28C5-3EF5-48F9-801A-5BA95D9CBA0B}"/>
    <cellStyle name="Normal 2 4 8 6" xfId="2488" xr:uid="{00000000-0005-0000-0000-00000D110000}"/>
    <cellStyle name="Normal 2 4 8 6 2" xfId="6773" xr:uid="{00000000-0005-0000-0000-00000E110000}"/>
    <cellStyle name="Normal 2 4 8 6 2 2" xfId="15202" xr:uid="{F6ACBC87-7068-425B-86F8-FBA0D00994AF}"/>
    <cellStyle name="Normal 2 4 8 6 2 3" xfId="23630" xr:uid="{65D393AF-AF35-4B3C-8425-AE60A07E326B}"/>
    <cellStyle name="Normal 2 4 8 6 3" xfId="10984" xr:uid="{6A073DB8-F91B-45C0-8459-5502042DC68B}"/>
    <cellStyle name="Normal 2 4 8 6 4" xfId="19413" xr:uid="{D4C9152D-273C-4AC1-B249-3FC62030FD6D}"/>
    <cellStyle name="Normal 2 4 8 7" xfId="4707" xr:uid="{00000000-0005-0000-0000-00000F110000}"/>
    <cellStyle name="Normal 2 4 8 7 2" xfId="13136" xr:uid="{1238E265-8FD1-4F7D-83A6-BB1A79972C39}"/>
    <cellStyle name="Normal 2 4 8 7 3" xfId="21564" xr:uid="{FCF444C7-6E2A-4AA4-9B15-A5C7E1717C83}"/>
    <cellStyle name="Normal 2 4 8 8" xfId="8918" xr:uid="{46B61006-0553-4279-A41F-EE74796A599B}"/>
    <cellStyle name="Normal 2 4 8 9" xfId="17347" xr:uid="{5AE4C32E-5387-4725-B580-784455798A36}"/>
    <cellStyle name="Normal 2 5" xfId="315" xr:uid="{00000000-0005-0000-0000-000010110000}"/>
    <cellStyle name="Normal 2 5 10" xfId="4708" xr:uid="{00000000-0005-0000-0000-000011110000}"/>
    <cellStyle name="Normal 2 5 10 2" xfId="13137" xr:uid="{31A8EE3F-EA34-4039-A23E-50E4C6B04C09}"/>
    <cellStyle name="Normal 2 5 10 3" xfId="21565" xr:uid="{C18866BD-A5E5-4C19-AD21-55D192D9E899}"/>
    <cellStyle name="Normal 2 5 11" xfId="8919" xr:uid="{48498AB2-078C-4F64-A992-DBBA4CAEE271}"/>
    <cellStyle name="Normal 2 5 12" xfId="17348" xr:uid="{CB3556CB-B860-424E-9732-B4913ECD8D69}"/>
    <cellStyle name="Normal 2 5 2" xfId="316" xr:uid="{00000000-0005-0000-0000-000012110000}"/>
    <cellStyle name="Normal 2 5 3" xfId="317" xr:uid="{00000000-0005-0000-0000-000013110000}"/>
    <cellStyle name="Normal 2 5 4" xfId="318" xr:uid="{00000000-0005-0000-0000-000014110000}"/>
    <cellStyle name="Normal 2 5 4 10" xfId="8920" xr:uid="{E4FC7325-3BB0-42D4-9E42-92EF5502F9D1}"/>
    <cellStyle name="Normal 2 5 4 11" xfId="17349" xr:uid="{5E3D9CAB-E6B1-4A2F-8D9E-CE48AF561866}"/>
    <cellStyle name="Normal 2 5 4 2" xfId="319" xr:uid="{00000000-0005-0000-0000-000015110000}"/>
    <cellStyle name="Normal 2 5 4 2 10" xfId="17350" xr:uid="{BE966B08-72EE-41F6-B011-DD2A60757E0C}"/>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9" xr:uid="{694E6609-CE19-476C-BA5F-67B7E1A7E6A8}"/>
    <cellStyle name="Normal 2 5 4 2 2 2 2 2 3" xfId="24127" xr:uid="{334DFF4F-FCE5-4DBE-B7FB-CD14D872CBA8}"/>
    <cellStyle name="Normal 2 5 4 2 2 2 2 3" xfId="11481" xr:uid="{2B546A95-A36B-4F7A-A7AA-B192DFA762C9}"/>
    <cellStyle name="Normal 2 5 4 2 2 2 2 4" xfId="19910" xr:uid="{1E2F1702-6313-4998-9DA8-6E452812FE02}"/>
    <cellStyle name="Normal 2 5 4 2 2 2 3" xfId="5125" xr:uid="{00000000-0005-0000-0000-00001A110000}"/>
    <cellStyle name="Normal 2 5 4 2 2 2 3 2" xfId="13554" xr:uid="{5416DAC4-64DE-4F29-9938-B93CCA46DC6B}"/>
    <cellStyle name="Normal 2 5 4 2 2 2 3 3" xfId="21982" xr:uid="{FA58984D-2E63-4A74-BDF1-E5002242DDEF}"/>
    <cellStyle name="Normal 2 5 4 2 2 2 4" xfId="9336" xr:uid="{34F4B2F3-757D-4E1D-8450-D56274D9ACF0}"/>
    <cellStyle name="Normal 2 5 4 2 2 2 5" xfId="17765" xr:uid="{0F93B28C-A6BC-4AF5-B71C-D1619E8A65E8}"/>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12" xr:uid="{F3275948-A6D3-4FDB-835C-DD3DA9227255}"/>
    <cellStyle name="Normal 2 5 4 2 2 3 2 2 3" xfId="24540" xr:uid="{2FCD1BBD-A1DE-493C-81B0-F6F159107C2B}"/>
    <cellStyle name="Normal 2 5 4 2 2 3 2 3" xfId="11894" xr:uid="{38A4BF68-E6AA-4143-992B-551D36EEF78C}"/>
    <cellStyle name="Normal 2 5 4 2 2 3 2 4" xfId="20323" xr:uid="{ADF6B2B3-7C75-46EE-919A-86B782C88559}"/>
    <cellStyle name="Normal 2 5 4 2 2 3 3" xfId="5538" xr:uid="{00000000-0005-0000-0000-00001E110000}"/>
    <cellStyle name="Normal 2 5 4 2 2 3 3 2" xfId="13967" xr:uid="{FA6D555D-874D-4536-ABB0-B8964349942A}"/>
    <cellStyle name="Normal 2 5 4 2 2 3 3 3" xfId="22395" xr:uid="{24667D76-7A0A-47A5-A967-74FFC07636B1}"/>
    <cellStyle name="Normal 2 5 4 2 2 3 4" xfId="9749" xr:uid="{86609D64-68C9-401D-AB84-80A4AB4A4264}"/>
    <cellStyle name="Normal 2 5 4 2 2 3 5" xfId="18178" xr:uid="{A5E8D5A8-7BF7-4F67-8704-D31C7EBECC33}"/>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25" xr:uid="{A9D4766B-6043-436A-9B47-0917D28A9E2C}"/>
    <cellStyle name="Normal 2 5 4 2 2 4 2 2 3" xfId="24953" xr:uid="{D1B87236-ED1A-46EF-9928-D1721F05BF0D}"/>
    <cellStyle name="Normal 2 5 4 2 2 4 2 3" xfId="12307" xr:uid="{A1C0EB80-7402-48CC-A957-A92340BC3921}"/>
    <cellStyle name="Normal 2 5 4 2 2 4 2 4" xfId="20736" xr:uid="{2286800B-D97F-41E5-AB8B-A70996924F88}"/>
    <cellStyle name="Normal 2 5 4 2 2 4 3" xfId="5951" xr:uid="{00000000-0005-0000-0000-000022110000}"/>
    <cellStyle name="Normal 2 5 4 2 2 4 3 2" xfId="14380" xr:uid="{3CE2E925-6BA1-4DE3-8680-FD09D1BEE240}"/>
    <cellStyle name="Normal 2 5 4 2 2 4 3 3" xfId="22808" xr:uid="{505F5DEC-7820-40FF-A099-AF07A553D717}"/>
    <cellStyle name="Normal 2 5 4 2 2 4 4" xfId="10162" xr:uid="{F7B19FC4-AE81-45CE-96CB-14D2A3259F51}"/>
    <cellStyle name="Normal 2 5 4 2 2 4 5" xfId="18591" xr:uid="{41B02B9E-B36F-4290-A28D-98745DC35637}"/>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8" xr:uid="{7FAFC870-DF98-44A9-9DB2-F9DF910508C7}"/>
    <cellStyle name="Normal 2 5 4 2 2 5 2 2 3" xfId="25366" xr:uid="{47395A88-61FC-43CC-90A8-8F7A53A93A1E}"/>
    <cellStyle name="Normal 2 5 4 2 2 5 2 3" xfId="12720" xr:uid="{58C96A78-AD61-43E3-BC1B-D73AF69283FA}"/>
    <cellStyle name="Normal 2 5 4 2 2 5 2 4" xfId="21149" xr:uid="{075505BE-E44E-4649-872D-20D1D01679F8}"/>
    <cellStyle name="Normal 2 5 4 2 2 5 3" xfId="6364" xr:uid="{00000000-0005-0000-0000-000026110000}"/>
    <cellStyle name="Normal 2 5 4 2 2 5 3 2" xfId="14793" xr:uid="{7DD082AB-F7BB-4E4D-9D5C-823655D853FA}"/>
    <cellStyle name="Normal 2 5 4 2 2 5 3 3" xfId="23221" xr:uid="{D31399EE-4961-439A-819A-4B120DF22592}"/>
    <cellStyle name="Normal 2 5 4 2 2 5 4" xfId="10575" xr:uid="{6C9394D4-DAFF-45BD-A771-A0C7F68243D5}"/>
    <cellStyle name="Normal 2 5 4 2 2 5 5" xfId="19004" xr:uid="{15903638-E220-4741-87E2-818060C690B2}"/>
    <cellStyle name="Normal 2 5 4 2 2 6" xfId="2492" xr:uid="{00000000-0005-0000-0000-000027110000}"/>
    <cellStyle name="Normal 2 5 4 2 2 6 2" xfId="6777" xr:uid="{00000000-0005-0000-0000-000028110000}"/>
    <cellStyle name="Normal 2 5 4 2 2 6 2 2" xfId="15206" xr:uid="{30BD0F05-B1B4-4D19-90E9-DFC9BF3AEA30}"/>
    <cellStyle name="Normal 2 5 4 2 2 6 2 3" xfId="23634" xr:uid="{61EAD96B-F4B4-4E14-9242-E46634828C90}"/>
    <cellStyle name="Normal 2 5 4 2 2 6 3" xfId="10988" xr:uid="{383E7148-E3E4-483D-AE2B-AC500B55B267}"/>
    <cellStyle name="Normal 2 5 4 2 2 6 4" xfId="19417" xr:uid="{761595DC-5BCD-44D8-A954-A356D15A3E98}"/>
    <cellStyle name="Normal 2 5 4 2 2 7" xfId="4711" xr:uid="{00000000-0005-0000-0000-000029110000}"/>
    <cellStyle name="Normal 2 5 4 2 2 7 2" xfId="13140" xr:uid="{63A0D28C-E6E9-4935-BE49-1FCB81A7ED85}"/>
    <cellStyle name="Normal 2 5 4 2 2 7 3" xfId="21568" xr:uid="{F89DACB5-4C06-4417-B711-C48807202F74}"/>
    <cellStyle name="Normal 2 5 4 2 2 8" xfId="8922" xr:uid="{73F11FA0-3086-45AB-B8F9-1FBE09693202}"/>
    <cellStyle name="Normal 2 5 4 2 2 9" xfId="17351" xr:uid="{97D2CF03-139C-4D93-B2EE-19EA48B4418E}"/>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8" xr:uid="{322FA246-0623-4E12-A0AD-54E4AA8022A6}"/>
    <cellStyle name="Normal 2 5 4 2 3 2 2 3" xfId="24126" xr:uid="{A12004E9-5891-447C-A57F-073B99448037}"/>
    <cellStyle name="Normal 2 5 4 2 3 2 3" xfId="11480" xr:uid="{6703F7C0-73C8-46FC-80F1-D8DA8154D928}"/>
    <cellStyle name="Normal 2 5 4 2 3 2 4" xfId="19909" xr:uid="{0A4A0D62-777C-4BCF-A01E-0272F3C20308}"/>
    <cellStyle name="Normal 2 5 4 2 3 3" xfId="5124" xr:uid="{00000000-0005-0000-0000-00002D110000}"/>
    <cellStyle name="Normal 2 5 4 2 3 3 2" xfId="13553" xr:uid="{945B1DC5-1C84-4FEA-8AC9-EBE0551A8527}"/>
    <cellStyle name="Normal 2 5 4 2 3 3 3" xfId="21981" xr:uid="{8CA34233-83F9-4F1E-83B8-2C1D1DBBE509}"/>
    <cellStyle name="Normal 2 5 4 2 3 4" xfId="9335" xr:uid="{26C00A27-4625-45C6-8F3E-F5AB69EC09AE}"/>
    <cellStyle name="Normal 2 5 4 2 3 5" xfId="17764" xr:uid="{58F20814-3EC7-4A16-9E7C-10FBED0BDFBD}"/>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11" xr:uid="{B4B57506-1CF0-4B4B-B9DF-9641FB43A38F}"/>
    <cellStyle name="Normal 2 5 4 2 4 2 2 3" xfId="24539" xr:uid="{23D344B7-279E-45B4-8CD4-7B329B88C471}"/>
    <cellStyle name="Normal 2 5 4 2 4 2 3" xfId="11893" xr:uid="{ECFF45B0-B9E3-4FB8-BC08-D28CEA2E1C84}"/>
    <cellStyle name="Normal 2 5 4 2 4 2 4" xfId="20322" xr:uid="{E82AEFE5-0F53-4D50-A73F-2D1CF9846642}"/>
    <cellStyle name="Normal 2 5 4 2 4 3" xfId="5537" xr:uid="{00000000-0005-0000-0000-000031110000}"/>
    <cellStyle name="Normal 2 5 4 2 4 3 2" xfId="13966" xr:uid="{5968F691-B44A-497F-8528-484997483A53}"/>
    <cellStyle name="Normal 2 5 4 2 4 3 3" xfId="22394" xr:uid="{D9A7364F-87B8-4C91-9853-5028BEBA4C0E}"/>
    <cellStyle name="Normal 2 5 4 2 4 4" xfId="9748" xr:uid="{9E84B83D-46FA-422C-9F17-B08E2D598BC8}"/>
    <cellStyle name="Normal 2 5 4 2 4 5" xfId="18177" xr:uid="{F390C833-BDD6-4BCE-A924-D7391003DBA6}"/>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24" xr:uid="{899A919A-E9C9-4D1C-9D61-B54B169FC053}"/>
    <cellStyle name="Normal 2 5 4 2 5 2 2 3" xfId="24952" xr:uid="{26E40A8A-6A24-41C4-9554-D68654E60F5E}"/>
    <cellStyle name="Normal 2 5 4 2 5 2 3" xfId="12306" xr:uid="{351949C5-3250-4B4C-857C-9B2AC67F676B}"/>
    <cellStyle name="Normal 2 5 4 2 5 2 4" xfId="20735" xr:uid="{F5AE3086-EB57-4138-AC4D-ADD22613CBDD}"/>
    <cellStyle name="Normal 2 5 4 2 5 3" xfId="5950" xr:uid="{00000000-0005-0000-0000-000035110000}"/>
    <cellStyle name="Normal 2 5 4 2 5 3 2" xfId="14379" xr:uid="{62D25D65-6A54-4380-819D-AF0BC6B4F6C7}"/>
    <cellStyle name="Normal 2 5 4 2 5 3 3" xfId="22807" xr:uid="{79CFDA5D-D8FA-4BA0-969E-FB25A99051CC}"/>
    <cellStyle name="Normal 2 5 4 2 5 4" xfId="10161" xr:uid="{2F0710DD-3F55-4141-A3DB-CD90CB76A080}"/>
    <cellStyle name="Normal 2 5 4 2 5 5" xfId="18590" xr:uid="{DE233EEB-7AB6-4848-97BD-75FB050E99B1}"/>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7" xr:uid="{403F8A72-C70E-4944-8EBE-3E1E6F16E9D2}"/>
    <cellStyle name="Normal 2 5 4 2 6 2 2 3" xfId="25365" xr:uid="{6F84E8BC-FD03-4AB3-B3B2-B77F3AE3323B}"/>
    <cellStyle name="Normal 2 5 4 2 6 2 3" xfId="12719" xr:uid="{0479B917-708F-45E8-AEA4-3014D49E1AAF}"/>
    <cellStyle name="Normal 2 5 4 2 6 2 4" xfId="21148" xr:uid="{43FF2832-41FE-482D-9A1B-BE5F9FFC91B5}"/>
    <cellStyle name="Normal 2 5 4 2 6 3" xfId="6363" xr:uid="{00000000-0005-0000-0000-000039110000}"/>
    <cellStyle name="Normal 2 5 4 2 6 3 2" xfId="14792" xr:uid="{85BD8B66-8517-4253-9F3A-B3B35FD99CF5}"/>
    <cellStyle name="Normal 2 5 4 2 6 3 3" xfId="23220" xr:uid="{DBF9A228-90F5-4704-9380-285A01CCAAC9}"/>
    <cellStyle name="Normal 2 5 4 2 6 4" xfId="10574" xr:uid="{F2311349-7551-4CB3-BC9A-5ED97735062C}"/>
    <cellStyle name="Normal 2 5 4 2 6 5" xfId="19003" xr:uid="{BCEF1F86-9999-46ED-B2A1-20BE4D033A7F}"/>
    <cellStyle name="Normal 2 5 4 2 7" xfId="2491" xr:uid="{00000000-0005-0000-0000-00003A110000}"/>
    <cellStyle name="Normal 2 5 4 2 7 2" xfId="6776" xr:uid="{00000000-0005-0000-0000-00003B110000}"/>
    <cellStyle name="Normal 2 5 4 2 7 2 2" xfId="15205" xr:uid="{5CE8982F-785D-4ED3-8F8A-3D3DA561EB79}"/>
    <cellStyle name="Normal 2 5 4 2 7 2 3" xfId="23633" xr:uid="{7178B451-7020-41DF-9047-B30583C3AC3D}"/>
    <cellStyle name="Normal 2 5 4 2 7 3" xfId="10987" xr:uid="{D40F1B39-0682-4949-AD65-7DAC8D3965EA}"/>
    <cellStyle name="Normal 2 5 4 2 7 4" xfId="19416" xr:uid="{A23588AF-78DF-4A48-9A4E-FD9A5176EC3A}"/>
    <cellStyle name="Normal 2 5 4 2 8" xfId="4710" xr:uid="{00000000-0005-0000-0000-00003C110000}"/>
    <cellStyle name="Normal 2 5 4 2 8 2" xfId="13139" xr:uid="{90252968-9955-460D-B782-C7FD6CEDEECB}"/>
    <cellStyle name="Normal 2 5 4 2 8 3" xfId="21567" xr:uid="{E81BAEB9-975D-43A8-9F61-8AFD6A6F9885}"/>
    <cellStyle name="Normal 2 5 4 2 9" xfId="8921" xr:uid="{18A341D9-C4ED-45B3-8FD6-F7CE0109A124}"/>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700" xr:uid="{C614876C-D891-49AF-A89C-7424F07581C1}"/>
    <cellStyle name="Normal 2 5 4 3 2 2 2 3" xfId="24128" xr:uid="{30AD6DF9-1C18-4750-8C73-6788996EFAC6}"/>
    <cellStyle name="Normal 2 5 4 3 2 2 3" xfId="11482" xr:uid="{4397781D-C264-4243-9B2E-AFD1D87AC528}"/>
    <cellStyle name="Normal 2 5 4 3 2 2 4" xfId="19911" xr:uid="{8099B0A6-7E56-4569-BE48-010C64099FA2}"/>
    <cellStyle name="Normal 2 5 4 3 2 3" xfId="5126" xr:uid="{00000000-0005-0000-0000-000041110000}"/>
    <cellStyle name="Normal 2 5 4 3 2 3 2" xfId="13555" xr:uid="{E5A0A92F-3BD1-476E-9EB3-4CF46AF7C2A7}"/>
    <cellStyle name="Normal 2 5 4 3 2 3 3" xfId="21983" xr:uid="{A36EE1FC-C02E-423A-A705-979141674700}"/>
    <cellStyle name="Normal 2 5 4 3 2 4" xfId="9337" xr:uid="{548FFCA1-4D48-4DAC-A7D7-346CC5A92238}"/>
    <cellStyle name="Normal 2 5 4 3 2 5" xfId="17766" xr:uid="{3D54FBAA-0534-40E3-9ABD-667B0DFC861D}"/>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13" xr:uid="{230DDA5B-42F7-4BB2-97E0-B5CE45189068}"/>
    <cellStyle name="Normal 2 5 4 3 3 2 2 3" xfId="24541" xr:uid="{DFD449F0-3F23-4AB4-A50D-EB8ED46D9ED8}"/>
    <cellStyle name="Normal 2 5 4 3 3 2 3" xfId="11895" xr:uid="{30A488B5-F0C7-4AA3-9E66-35381EA6C995}"/>
    <cellStyle name="Normal 2 5 4 3 3 2 4" xfId="20324" xr:uid="{58F0865F-1785-4A60-AC9B-440D0A602DA8}"/>
    <cellStyle name="Normal 2 5 4 3 3 3" xfId="5539" xr:uid="{00000000-0005-0000-0000-000045110000}"/>
    <cellStyle name="Normal 2 5 4 3 3 3 2" xfId="13968" xr:uid="{245CE90E-9600-450E-BD45-D4F67AB4B6E6}"/>
    <cellStyle name="Normal 2 5 4 3 3 3 3" xfId="22396" xr:uid="{19CBCD16-691F-4451-A8D2-368D64C84DB1}"/>
    <cellStyle name="Normal 2 5 4 3 3 4" xfId="9750" xr:uid="{5E802DC4-416A-448A-9B64-75BFE33A101F}"/>
    <cellStyle name="Normal 2 5 4 3 3 5" xfId="18179" xr:uid="{A6610095-D2A4-4728-97E1-23ACCF54B545}"/>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26" xr:uid="{3D5A45D3-97F8-4682-9C15-CE2024F3D4DC}"/>
    <cellStyle name="Normal 2 5 4 3 4 2 2 3" xfId="24954" xr:uid="{6714C878-20C2-41E4-A91D-0511771999D9}"/>
    <cellStyle name="Normal 2 5 4 3 4 2 3" xfId="12308" xr:uid="{2188AB56-6E58-44ED-B7A6-4794FE014C20}"/>
    <cellStyle name="Normal 2 5 4 3 4 2 4" xfId="20737" xr:uid="{DAC9363E-E85E-478A-A0A9-6CC8C7B49952}"/>
    <cellStyle name="Normal 2 5 4 3 4 3" xfId="5952" xr:uid="{00000000-0005-0000-0000-000049110000}"/>
    <cellStyle name="Normal 2 5 4 3 4 3 2" xfId="14381" xr:uid="{355D7C8B-4823-4626-A28F-B7EFDB1C1A2B}"/>
    <cellStyle name="Normal 2 5 4 3 4 3 3" xfId="22809" xr:uid="{72EEA546-6947-491A-8E6C-86175D366E99}"/>
    <cellStyle name="Normal 2 5 4 3 4 4" xfId="10163" xr:uid="{40E2F2F2-405D-420E-BB93-AF6632064950}"/>
    <cellStyle name="Normal 2 5 4 3 4 5" xfId="18592" xr:uid="{D1FF48BB-3BBE-40DE-8EA8-E4483EBBB305}"/>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9" xr:uid="{4C78914C-E462-4D49-9646-A369DF0984A3}"/>
    <cellStyle name="Normal 2 5 4 3 5 2 2 3" xfId="25367" xr:uid="{E2D75DFB-32C1-463E-A693-2361A41E73A8}"/>
    <cellStyle name="Normal 2 5 4 3 5 2 3" xfId="12721" xr:uid="{44B675F2-87EE-4E22-A5B8-4FB84B032B78}"/>
    <cellStyle name="Normal 2 5 4 3 5 2 4" xfId="21150" xr:uid="{9C57BF8C-819C-4F5D-A0E3-75AA4A9BB6AB}"/>
    <cellStyle name="Normal 2 5 4 3 5 3" xfId="6365" xr:uid="{00000000-0005-0000-0000-00004D110000}"/>
    <cellStyle name="Normal 2 5 4 3 5 3 2" xfId="14794" xr:uid="{DF74EA5B-D1B0-48AC-8D88-BA49EF3F4DE8}"/>
    <cellStyle name="Normal 2 5 4 3 5 3 3" xfId="23222" xr:uid="{315AF0D3-D932-4F30-9165-9BEE6F377BD1}"/>
    <cellStyle name="Normal 2 5 4 3 5 4" xfId="10576" xr:uid="{0572B2AA-7B0A-479F-92C4-08BCA91E635F}"/>
    <cellStyle name="Normal 2 5 4 3 5 5" xfId="19005" xr:uid="{7550BF6D-B8CF-419D-AD6F-8CAA8C622F71}"/>
    <cellStyle name="Normal 2 5 4 3 6" xfId="2493" xr:uid="{00000000-0005-0000-0000-00004E110000}"/>
    <cellStyle name="Normal 2 5 4 3 6 2" xfId="6778" xr:uid="{00000000-0005-0000-0000-00004F110000}"/>
    <cellStyle name="Normal 2 5 4 3 6 2 2" xfId="15207" xr:uid="{6667A691-AD5C-40C8-B5D1-6AFC0856E51F}"/>
    <cellStyle name="Normal 2 5 4 3 6 2 3" xfId="23635" xr:uid="{0A73542B-4029-4666-9C3A-60F0FFE7C0E5}"/>
    <cellStyle name="Normal 2 5 4 3 6 3" xfId="10989" xr:uid="{08EFD07A-71A6-4AEC-9AFA-25DF73282491}"/>
    <cellStyle name="Normal 2 5 4 3 6 4" xfId="19418" xr:uid="{90E43A04-FE4C-4F34-A1CE-97E8218F4E2E}"/>
    <cellStyle name="Normal 2 5 4 3 7" xfId="4712" xr:uid="{00000000-0005-0000-0000-000050110000}"/>
    <cellStyle name="Normal 2 5 4 3 7 2" xfId="13141" xr:uid="{C29FFD69-0F2A-48A2-8A5F-623CFB142019}"/>
    <cellStyle name="Normal 2 5 4 3 7 3" xfId="21569" xr:uid="{A1EC0167-FA02-484C-810F-7211AD448A49}"/>
    <cellStyle name="Normal 2 5 4 3 8" xfId="8923" xr:uid="{6ADFED70-EE7D-41DB-A3B1-01F9FF46DDF0}"/>
    <cellStyle name="Normal 2 5 4 3 9" xfId="17352" xr:uid="{1271F9D4-DC7D-48DA-8643-BC2344075B61}"/>
    <cellStyle name="Normal 2 5 4 4" xfId="805" xr:uid="{00000000-0005-0000-0000-000051110000}"/>
    <cellStyle name="Normal 2 5 4 4 2" xfId="3044" xr:uid="{00000000-0005-0000-0000-000052110000}"/>
    <cellStyle name="Normal 2 5 4 4 2 2" xfId="7268" xr:uid="{00000000-0005-0000-0000-000053110000}"/>
    <cellStyle name="Normal 2 5 4 4 2 2 2" xfId="15697" xr:uid="{53EA5D76-FB14-47B0-86A6-0C75FB8508B4}"/>
    <cellStyle name="Normal 2 5 4 4 2 2 3" xfId="24125" xr:uid="{147C284F-E7FE-4B1E-83DD-379E3F128D68}"/>
    <cellStyle name="Normal 2 5 4 4 2 3" xfId="11479" xr:uid="{A33762AA-60D5-4810-AC07-4ED5D310A904}"/>
    <cellStyle name="Normal 2 5 4 4 2 4" xfId="19908" xr:uid="{5B3446D6-133E-422F-8318-1288B8197F3B}"/>
    <cellStyle name="Normal 2 5 4 4 3" xfId="5123" xr:uid="{00000000-0005-0000-0000-000054110000}"/>
    <cellStyle name="Normal 2 5 4 4 3 2" xfId="13552" xr:uid="{EEEEF3C2-D0BC-4656-9664-2F0BE8448D4E}"/>
    <cellStyle name="Normal 2 5 4 4 3 3" xfId="21980" xr:uid="{D5294F96-1816-4C62-9998-194A0E1838ED}"/>
    <cellStyle name="Normal 2 5 4 4 4" xfId="9334" xr:uid="{328354FD-A460-4E4D-944B-6721D599A885}"/>
    <cellStyle name="Normal 2 5 4 4 5" xfId="17763" xr:uid="{12E19A58-17FB-4DFF-815A-9F7D4AAE5671}"/>
    <cellStyle name="Normal 2 5 4 5" xfId="1227" xr:uid="{00000000-0005-0000-0000-000055110000}"/>
    <cellStyle name="Normal 2 5 4 5 2" xfId="3457" xr:uid="{00000000-0005-0000-0000-000056110000}"/>
    <cellStyle name="Normal 2 5 4 5 2 2" xfId="7681" xr:uid="{00000000-0005-0000-0000-000057110000}"/>
    <cellStyle name="Normal 2 5 4 5 2 2 2" xfId="16110" xr:uid="{19DFC2A2-CCA5-47FA-A81B-C2198638A21C}"/>
    <cellStyle name="Normal 2 5 4 5 2 2 3" xfId="24538" xr:uid="{5E0FC079-4EAB-4AC9-ABF2-FADD8336F36B}"/>
    <cellStyle name="Normal 2 5 4 5 2 3" xfId="11892" xr:uid="{D94D481C-D455-47EB-A0D8-C4A6CE9268B3}"/>
    <cellStyle name="Normal 2 5 4 5 2 4" xfId="20321" xr:uid="{FA092127-09A8-41B4-87F7-9DE58EE7CC1B}"/>
    <cellStyle name="Normal 2 5 4 5 3" xfId="5536" xr:uid="{00000000-0005-0000-0000-000058110000}"/>
    <cellStyle name="Normal 2 5 4 5 3 2" xfId="13965" xr:uid="{11D3D039-1E5A-407A-89FC-5009E3EFC2EC}"/>
    <cellStyle name="Normal 2 5 4 5 3 3" xfId="22393" xr:uid="{177727E1-438F-4FA5-A00D-F11EC11FDFE8}"/>
    <cellStyle name="Normal 2 5 4 5 4" xfId="9747" xr:uid="{0EDB675F-F3D0-4AB6-ABF1-B717A11E440A}"/>
    <cellStyle name="Normal 2 5 4 5 5" xfId="18176" xr:uid="{61F35108-9AEA-4FBF-A75B-88D3ABEA91DF}"/>
    <cellStyle name="Normal 2 5 4 6" xfId="1640" xr:uid="{00000000-0005-0000-0000-000059110000}"/>
    <cellStyle name="Normal 2 5 4 6 2" xfId="3870" xr:uid="{00000000-0005-0000-0000-00005A110000}"/>
    <cellStyle name="Normal 2 5 4 6 2 2" xfId="8094" xr:uid="{00000000-0005-0000-0000-00005B110000}"/>
    <cellStyle name="Normal 2 5 4 6 2 2 2" xfId="16523" xr:uid="{A0E2FFE6-082B-47F0-9EF5-611784B47B53}"/>
    <cellStyle name="Normal 2 5 4 6 2 2 3" xfId="24951" xr:uid="{0AE9B052-C8E6-45DE-B967-F67B3CCD0A37}"/>
    <cellStyle name="Normal 2 5 4 6 2 3" xfId="12305" xr:uid="{19720727-4F09-4DD4-822A-9055551FE0F2}"/>
    <cellStyle name="Normal 2 5 4 6 2 4" xfId="20734" xr:uid="{75E249A4-3EFF-45C8-ACBF-EB4D9EF16D3B}"/>
    <cellStyle name="Normal 2 5 4 6 3" xfId="5949" xr:uid="{00000000-0005-0000-0000-00005C110000}"/>
    <cellStyle name="Normal 2 5 4 6 3 2" xfId="14378" xr:uid="{7926B702-6A64-4BBD-8D0E-564F479252E8}"/>
    <cellStyle name="Normal 2 5 4 6 3 3" xfId="22806" xr:uid="{9795A57D-A0F3-43E6-8FC9-55A26BCD14EB}"/>
    <cellStyle name="Normal 2 5 4 6 4" xfId="10160" xr:uid="{0F10A289-3217-4334-8C9C-4DA69B6786CB}"/>
    <cellStyle name="Normal 2 5 4 6 5" xfId="18589" xr:uid="{859C1867-8BF9-4C56-95E7-C8A881A9E1D8}"/>
    <cellStyle name="Normal 2 5 4 7" xfId="2054" xr:uid="{00000000-0005-0000-0000-00005D110000}"/>
    <cellStyle name="Normal 2 5 4 7 2" xfId="4283" xr:uid="{00000000-0005-0000-0000-00005E110000}"/>
    <cellStyle name="Normal 2 5 4 7 2 2" xfId="8507" xr:uid="{00000000-0005-0000-0000-00005F110000}"/>
    <cellStyle name="Normal 2 5 4 7 2 2 2" xfId="16936" xr:uid="{DC37A8CC-2BBC-46CB-8C3D-5CFFE63C334E}"/>
    <cellStyle name="Normal 2 5 4 7 2 2 3" xfId="25364" xr:uid="{AD680B3D-0EF3-4EC8-91EE-AB107780926E}"/>
    <cellStyle name="Normal 2 5 4 7 2 3" xfId="12718" xr:uid="{32A16C3D-33C2-4E26-A493-E5E57217E401}"/>
    <cellStyle name="Normal 2 5 4 7 2 4" xfId="21147" xr:uid="{5A24D1FE-50E3-4C3C-B128-CBDABBF56426}"/>
    <cellStyle name="Normal 2 5 4 7 3" xfId="6362" xr:uid="{00000000-0005-0000-0000-000060110000}"/>
    <cellStyle name="Normal 2 5 4 7 3 2" xfId="14791" xr:uid="{2508BC72-B538-4CEE-9D06-25B0D9DB5C71}"/>
    <cellStyle name="Normal 2 5 4 7 3 3" xfId="23219" xr:uid="{30CBAF9E-C53F-4455-8E48-530E1983BAFA}"/>
    <cellStyle name="Normal 2 5 4 7 4" xfId="10573" xr:uid="{A9CCC18C-0D86-4299-AAB9-4A7FC09019BA}"/>
    <cellStyle name="Normal 2 5 4 7 5" xfId="19002" xr:uid="{6201D6D7-A57B-46A4-9F22-B44A88753BBE}"/>
    <cellStyle name="Normal 2 5 4 8" xfId="2490" xr:uid="{00000000-0005-0000-0000-000061110000}"/>
    <cellStyle name="Normal 2 5 4 8 2" xfId="6775" xr:uid="{00000000-0005-0000-0000-000062110000}"/>
    <cellStyle name="Normal 2 5 4 8 2 2" xfId="15204" xr:uid="{6BA29BFF-5A16-49FC-8BDA-AD7DBCB9D8D9}"/>
    <cellStyle name="Normal 2 5 4 8 2 3" xfId="23632" xr:uid="{46C59A57-343A-487C-B7ED-1113AC39932F}"/>
    <cellStyle name="Normal 2 5 4 8 3" xfId="10986" xr:uid="{5415F498-34EE-4F20-BDB6-7B2DEB0CB6C7}"/>
    <cellStyle name="Normal 2 5 4 8 4" xfId="19415" xr:uid="{3830BABE-7A00-4FD3-BCFE-11E0B278F068}"/>
    <cellStyle name="Normal 2 5 4 9" xfId="4709" xr:uid="{00000000-0005-0000-0000-000063110000}"/>
    <cellStyle name="Normal 2 5 4 9 2" xfId="13138" xr:uid="{B7873C1F-7D38-453D-A06D-02952D04BC56}"/>
    <cellStyle name="Normal 2 5 4 9 3" xfId="21566" xr:uid="{9A801EE8-9213-4C51-859C-8E05994F9375}"/>
    <cellStyle name="Normal 2 5 5" xfId="804" xr:uid="{00000000-0005-0000-0000-000064110000}"/>
    <cellStyle name="Normal 2 5 5 2" xfId="3043" xr:uid="{00000000-0005-0000-0000-000065110000}"/>
    <cellStyle name="Normal 2 5 5 2 2" xfId="7267" xr:uid="{00000000-0005-0000-0000-000066110000}"/>
    <cellStyle name="Normal 2 5 5 2 2 2" xfId="15696" xr:uid="{D0FDF548-DF61-47D2-9E27-8CD522D84470}"/>
    <cellStyle name="Normal 2 5 5 2 2 3" xfId="24124" xr:uid="{9256DCB5-8DA8-4D07-9E2C-5F9EC67D6C00}"/>
    <cellStyle name="Normal 2 5 5 2 3" xfId="11478" xr:uid="{B4A5BF59-7BAA-4CE1-9BF7-DE580BB7D01C}"/>
    <cellStyle name="Normal 2 5 5 2 4" xfId="19907" xr:uid="{CA4E04F3-9354-42E9-884D-4D8699022C4B}"/>
    <cellStyle name="Normal 2 5 5 3" xfId="5122" xr:uid="{00000000-0005-0000-0000-000067110000}"/>
    <cellStyle name="Normal 2 5 5 3 2" xfId="13551" xr:uid="{07A0B9AB-A6A9-4D2D-89E5-D4B0AC73BF48}"/>
    <cellStyle name="Normal 2 5 5 3 3" xfId="21979" xr:uid="{F3C25454-96C4-4DF2-9946-9C3C2C2622EB}"/>
    <cellStyle name="Normal 2 5 5 4" xfId="9333" xr:uid="{F07CCFAC-5754-4A47-A0CD-9939A662D626}"/>
    <cellStyle name="Normal 2 5 5 5" xfId="17762" xr:uid="{A2575094-433F-4BCB-BCF3-4894CC03A409}"/>
    <cellStyle name="Normal 2 5 6" xfId="1226" xr:uid="{00000000-0005-0000-0000-000068110000}"/>
    <cellStyle name="Normal 2 5 6 2" xfId="3456" xr:uid="{00000000-0005-0000-0000-000069110000}"/>
    <cellStyle name="Normal 2 5 6 2 2" xfId="7680" xr:uid="{00000000-0005-0000-0000-00006A110000}"/>
    <cellStyle name="Normal 2 5 6 2 2 2" xfId="16109" xr:uid="{BB033A0B-5595-4DA1-B3F3-95C504E1E367}"/>
    <cellStyle name="Normal 2 5 6 2 2 3" xfId="24537" xr:uid="{23A6B2B9-148E-446E-9BAA-71F25A117AF6}"/>
    <cellStyle name="Normal 2 5 6 2 3" xfId="11891" xr:uid="{BEC4B7F6-5E88-47E4-A858-88A6BF32351C}"/>
    <cellStyle name="Normal 2 5 6 2 4" xfId="20320" xr:uid="{5A62B346-53C8-4CAE-AEA3-FC769E6E5606}"/>
    <cellStyle name="Normal 2 5 6 3" xfId="5535" xr:uid="{00000000-0005-0000-0000-00006B110000}"/>
    <cellStyle name="Normal 2 5 6 3 2" xfId="13964" xr:uid="{3710124E-93AA-4451-B517-F1A13C771221}"/>
    <cellStyle name="Normal 2 5 6 3 3" xfId="22392" xr:uid="{A5D5192B-5245-486D-A74D-1FE0FE7DC61E}"/>
    <cellStyle name="Normal 2 5 6 4" xfId="9746" xr:uid="{88EE82FF-1276-45A7-9943-83CF88560A18}"/>
    <cellStyle name="Normal 2 5 6 5" xfId="18175" xr:uid="{854674D0-D9F6-4D5B-8637-311533DD17D0}"/>
    <cellStyle name="Normal 2 5 7" xfId="1639" xr:uid="{00000000-0005-0000-0000-00006C110000}"/>
    <cellStyle name="Normal 2 5 7 2" xfId="3869" xr:uid="{00000000-0005-0000-0000-00006D110000}"/>
    <cellStyle name="Normal 2 5 7 2 2" xfId="8093" xr:uid="{00000000-0005-0000-0000-00006E110000}"/>
    <cellStyle name="Normal 2 5 7 2 2 2" xfId="16522" xr:uid="{09233D9C-8E9E-4076-B2BB-C1A1BB6D4AE6}"/>
    <cellStyle name="Normal 2 5 7 2 2 3" xfId="24950" xr:uid="{61534E0E-C830-4164-985C-2D2D7F0993B6}"/>
    <cellStyle name="Normal 2 5 7 2 3" xfId="12304" xr:uid="{91729E08-520E-4ED6-81D7-43C8D81ED525}"/>
    <cellStyle name="Normal 2 5 7 2 4" xfId="20733" xr:uid="{48B791E8-1DDA-4375-ABD6-44B78FCF0B87}"/>
    <cellStyle name="Normal 2 5 7 3" xfId="5948" xr:uid="{00000000-0005-0000-0000-00006F110000}"/>
    <cellStyle name="Normal 2 5 7 3 2" xfId="14377" xr:uid="{83304101-6D5F-4AEF-88FB-BA9FBC47E619}"/>
    <cellStyle name="Normal 2 5 7 3 3" xfId="22805" xr:uid="{A5D7D457-8849-4322-A755-D554BBD62713}"/>
    <cellStyle name="Normal 2 5 7 4" xfId="10159" xr:uid="{D31A6BD1-C703-4B64-9316-FF794BDF746A}"/>
    <cellStyle name="Normal 2 5 7 5" xfId="18588" xr:uid="{B0CCF615-1DAA-4710-B484-24067DF5E2C5}"/>
    <cellStyle name="Normal 2 5 8" xfId="2053" xr:uid="{00000000-0005-0000-0000-000070110000}"/>
    <cellStyle name="Normal 2 5 8 2" xfId="4282" xr:uid="{00000000-0005-0000-0000-000071110000}"/>
    <cellStyle name="Normal 2 5 8 2 2" xfId="8506" xr:uid="{00000000-0005-0000-0000-000072110000}"/>
    <cellStyle name="Normal 2 5 8 2 2 2" xfId="16935" xr:uid="{98A6F3F2-6927-44A2-83BE-D0ECEC7C7A19}"/>
    <cellStyle name="Normal 2 5 8 2 2 3" xfId="25363" xr:uid="{94E1E20C-8786-4303-AAE6-05DE65B45EAE}"/>
    <cellStyle name="Normal 2 5 8 2 3" xfId="12717" xr:uid="{71D9B4DF-867F-4A06-9278-0BE1B60EAF0F}"/>
    <cellStyle name="Normal 2 5 8 2 4" xfId="21146" xr:uid="{82E9F610-3025-4B21-888A-A9A334154036}"/>
    <cellStyle name="Normal 2 5 8 3" xfId="6361" xr:uid="{00000000-0005-0000-0000-000073110000}"/>
    <cellStyle name="Normal 2 5 8 3 2" xfId="14790" xr:uid="{D97AA699-4396-47DE-AF66-7532CBC2563F}"/>
    <cellStyle name="Normal 2 5 8 3 3" xfId="23218" xr:uid="{63143C0E-E6EB-4C48-97FD-9435B9B5F028}"/>
    <cellStyle name="Normal 2 5 8 4" xfId="10572" xr:uid="{1165DBC2-77B7-4D79-B6A7-94903D8E9F27}"/>
    <cellStyle name="Normal 2 5 8 5" xfId="19001" xr:uid="{E9111754-DE75-4F68-9C51-102A0A80F0EB}"/>
    <cellStyle name="Normal 2 5 9" xfId="2489" xr:uid="{00000000-0005-0000-0000-000074110000}"/>
    <cellStyle name="Normal 2 5 9 2" xfId="6774" xr:uid="{00000000-0005-0000-0000-000075110000}"/>
    <cellStyle name="Normal 2 5 9 2 2" xfId="15203" xr:uid="{0507C5C3-A199-43CE-A744-872A4AD71330}"/>
    <cellStyle name="Normal 2 5 9 2 3" xfId="23631" xr:uid="{C5C823FB-586B-44F1-A296-D125F8125FA0}"/>
    <cellStyle name="Normal 2 5 9 3" xfId="10985" xr:uid="{033CB2F3-AAF3-497A-AB93-803AD9A6AAC7}"/>
    <cellStyle name="Normal 2 5 9 4" xfId="19414" xr:uid="{265356B6-D85B-4B9E-9DD6-0380991F5EAA}"/>
    <cellStyle name="Normal 2 6" xfId="322" xr:uid="{00000000-0005-0000-0000-000076110000}"/>
    <cellStyle name="Normal 2 7" xfId="770" xr:uid="{00000000-0005-0000-0000-000077110000}"/>
    <cellStyle name="Normal 2 8" xfId="4496" xr:uid="{00000000-0005-0000-0000-000078110000}"/>
    <cellStyle name="Normal 2 8 2" xfId="12929" xr:uid="{73C178AF-3645-4471-8467-ADA9F911280F}"/>
    <cellStyle name="Normal 3" xfId="323" xr:uid="{00000000-0005-0000-0000-000079110000}"/>
    <cellStyle name="Normal 3 2" xfId="324" xr:uid="{00000000-0005-0000-0000-00007A110000}"/>
    <cellStyle name="Normal 3 2 10" xfId="8924" xr:uid="{B0BF1640-063F-4220-BF11-335948EBF5BD}"/>
    <cellStyle name="Normal 3 2 11" xfId="17353" xr:uid="{DBCEFACC-AC77-42E0-856C-F52A606E9FF2}"/>
    <cellStyle name="Normal 3 2 2" xfId="325" xr:uid="{00000000-0005-0000-0000-00007B110000}"/>
    <cellStyle name="Normal 3 2 2 2" xfId="811" xr:uid="{00000000-0005-0000-0000-00007C110000}"/>
    <cellStyle name="Normal 3 2 3" xfId="326" xr:uid="{00000000-0005-0000-0000-00007D110000}"/>
    <cellStyle name="Normal 3 2 3 10" xfId="8925" xr:uid="{5E5974B7-515C-4765-800A-763DB4CDB7EA}"/>
    <cellStyle name="Normal 3 2 3 11" xfId="17354" xr:uid="{EC105DB2-0515-47E1-B4AA-F2164E96109E}"/>
    <cellStyle name="Normal 3 2 3 2" xfId="327" xr:uid="{00000000-0005-0000-0000-00007E110000}"/>
    <cellStyle name="Normal 3 2 3 2 10" xfId="17355" xr:uid="{CC7A0E66-960C-4A1E-95A1-79401959BAF9}"/>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704" xr:uid="{7BBEFE07-BE73-4184-A5BA-54494691B88C}"/>
    <cellStyle name="Normal 3 2 3 2 2 2 2 2 3" xfId="24132" xr:uid="{E4DB841B-7ECB-4261-B318-AE5BC760602B}"/>
    <cellStyle name="Normal 3 2 3 2 2 2 2 3" xfId="11486" xr:uid="{9B8BA769-668C-4FE1-8FE0-7B1294CF4F78}"/>
    <cellStyle name="Normal 3 2 3 2 2 2 2 4" xfId="19915" xr:uid="{5DCA6073-3DA3-430F-AD73-7D38134080D5}"/>
    <cellStyle name="Normal 3 2 3 2 2 2 3" xfId="5130" xr:uid="{00000000-0005-0000-0000-000083110000}"/>
    <cellStyle name="Normal 3 2 3 2 2 2 3 2" xfId="13559" xr:uid="{E7D07AD3-A483-42A3-A3F3-0F688ED14B2C}"/>
    <cellStyle name="Normal 3 2 3 2 2 2 3 3" xfId="21987" xr:uid="{D7AB9141-4899-4ECB-A55D-CEFEC3AE3E9B}"/>
    <cellStyle name="Normal 3 2 3 2 2 2 4" xfId="9341" xr:uid="{C100008E-8D0D-4846-B874-B45D4E24CF07}"/>
    <cellStyle name="Normal 3 2 3 2 2 2 5" xfId="17770" xr:uid="{2ED264E8-D39B-4B8F-9EC5-71767AB058CB}"/>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7" xr:uid="{6A662DAD-3CCA-4990-982F-1EC5587CDA35}"/>
    <cellStyle name="Normal 3 2 3 2 2 3 2 2 3" xfId="24545" xr:uid="{022A22C1-EE64-421A-8711-81E9BA6414EE}"/>
    <cellStyle name="Normal 3 2 3 2 2 3 2 3" xfId="11899" xr:uid="{E9D56977-0E41-4578-9EE1-9FA542948145}"/>
    <cellStyle name="Normal 3 2 3 2 2 3 2 4" xfId="20328" xr:uid="{51E66655-C0F7-4863-8314-051544806391}"/>
    <cellStyle name="Normal 3 2 3 2 2 3 3" xfId="5543" xr:uid="{00000000-0005-0000-0000-000087110000}"/>
    <cellStyle name="Normal 3 2 3 2 2 3 3 2" xfId="13972" xr:uid="{27DE41F0-CEB9-48C6-B8FD-1CD1F8AD2319}"/>
    <cellStyle name="Normal 3 2 3 2 2 3 3 3" xfId="22400" xr:uid="{22CE7EF0-C8F0-4ABA-AEC7-FAB462EFC8AC}"/>
    <cellStyle name="Normal 3 2 3 2 2 3 4" xfId="9754" xr:uid="{22D224E2-996F-44CA-BD0A-5349CFD28AC9}"/>
    <cellStyle name="Normal 3 2 3 2 2 3 5" xfId="18183" xr:uid="{457F3917-D4EA-404B-9831-1E7CD9D056FB}"/>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30" xr:uid="{25C9ABDB-F568-44A5-AB42-03C3A57B1295}"/>
    <cellStyle name="Normal 3 2 3 2 2 4 2 2 3" xfId="24958" xr:uid="{61D5906C-61F8-44C3-B614-5034E5BE63F5}"/>
    <cellStyle name="Normal 3 2 3 2 2 4 2 3" xfId="12312" xr:uid="{BDA90287-6ACB-4C7E-94BC-08E932C8F3FB}"/>
    <cellStyle name="Normal 3 2 3 2 2 4 2 4" xfId="20741" xr:uid="{BC8CC0F0-06D4-4EF7-AE28-94439A835477}"/>
    <cellStyle name="Normal 3 2 3 2 2 4 3" xfId="5956" xr:uid="{00000000-0005-0000-0000-00008B110000}"/>
    <cellStyle name="Normal 3 2 3 2 2 4 3 2" xfId="14385" xr:uid="{684217B5-F7C0-452F-AE81-5CAD177A3766}"/>
    <cellStyle name="Normal 3 2 3 2 2 4 3 3" xfId="22813" xr:uid="{6033FE23-CCEC-42AD-AB6F-4B16B94F579B}"/>
    <cellStyle name="Normal 3 2 3 2 2 4 4" xfId="10167" xr:uid="{530552B4-3DE6-43A7-8FFE-FA0DC5758A96}"/>
    <cellStyle name="Normal 3 2 3 2 2 4 5" xfId="18596" xr:uid="{62AF1909-16E5-4C55-A377-1E9076618D28}"/>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43" xr:uid="{CAE70076-4AD0-4AC2-AD12-C34C58F36127}"/>
    <cellStyle name="Normal 3 2 3 2 2 5 2 2 3" xfId="25371" xr:uid="{EE0C1C45-849F-4BD6-84BF-0242A2568237}"/>
    <cellStyle name="Normal 3 2 3 2 2 5 2 3" xfId="12725" xr:uid="{EC8D3DF4-7A9D-4613-B3E5-539184AE5DDB}"/>
    <cellStyle name="Normal 3 2 3 2 2 5 2 4" xfId="21154" xr:uid="{7F450CF0-5754-45B9-8358-4DE63CA29442}"/>
    <cellStyle name="Normal 3 2 3 2 2 5 3" xfId="6369" xr:uid="{00000000-0005-0000-0000-00008F110000}"/>
    <cellStyle name="Normal 3 2 3 2 2 5 3 2" xfId="14798" xr:uid="{8725F2D5-28E4-4AC5-8A3B-8067105FE1B1}"/>
    <cellStyle name="Normal 3 2 3 2 2 5 3 3" xfId="23226" xr:uid="{9CE4CC32-AA0A-4B6A-ABD4-283C4617CFE5}"/>
    <cellStyle name="Normal 3 2 3 2 2 5 4" xfId="10580" xr:uid="{DD02FC68-A52A-4C95-945D-8F7246AF312F}"/>
    <cellStyle name="Normal 3 2 3 2 2 5 5" xfId="19009" xr:uid="{F51B128E-3B4F-4791-B6C6-8FA66CFD20D4}"/>
    <cellStyle name="Normal 3 2 3 2 2 6" xfId="2497" xr:uid="{00000000-0005-0000-0000-000090110000}"/>
    <cellStyle name="Normal 3 2 3 2 2 6 2" xfId="6782" xr:uid="{00000000-0005-0000-0000-000091110000}"/>
    <cellStyle name="Normal 3 2 3 2 2 6 2 2" xfId="15211" xr:uid="{3C995905-0194-42EF-BBB9-0D2BAD891DCC}"/>
    <cellStyle name="Normal 3 2 3 2 2 6 2 3" xfId="23639" xr:uid="{B6E90B07-CA98-490A-8BD9-AA313CF7313A}"/>
    <cellStyle name="Normal 3 2 3 2 2 6 3" xfId="10993" xr:uid="{FF07B25F-92C0-4DC3-834D-B10AF4C14F6E}"/>
    <cellStyle name="Normal 3 2 3 2 2 6 4" xfId="19422" xr:uid="{BF118591-AECA-4460-A89F-3633CAB95B5A}"/>
    <cellStyle name="Normal 3 2 3 2 2 7" xfId="4716" xr:uid="{00000000-0005-0000-0000-000092110000}"/>
    <cellStyle name="Normal 3 2 3 2 2 7 2" xfId="13145" xr:uid="{9BC3E900-4703-495E-BAE1-CB7AC20C0EEA}"/>
    <cellStyle name="Normal 3 2 3 2 2 7 3" xfId="21573" xr:uid="{7275B57F-F506-4A28-8545-62ED4B00F371}"/>
    <cellStyle name="Normal 3 2 3 2 2 8" xfId="8927" xr:uid="{75E26A39-D389-4F33-B389-2F9A22CE58FE}"/>
    <cellStyle name="Normal 3 2 3 2 2 9" xfId="17356" xr:uid="{92AEA804-7A43-40C4-B367-D581F41A3889}"/>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703" xr:uid="{401B860F-29D3-4791-B1EA-9193FB1BD89C}"/>
    <cellStyle name="Normal 3 2 3 2 3 2 2 3" xfId="24131" xr:uid="{7544BA8A-F986-402B-BB09-AEC6EA29535B}"/>
    <cellStyle name="Normal 3 2 3 2 3 2 3" xfId="11485" xr:uid="{34883D71-7CB3-469C-9732-551FF2C6F21D}"/>
    <cellStyle name="Normal 3 2 3 2 3 2 4" xfId="19914" xr:uid="{EC401DE9-2C07-461E-8328-587E9D843B14}"/>
    <cellStyle name="Normal 3 2 3 2 3 3" xfId="5129" xr:uid="{00000000-0005-0000-0000-000096110000}"/>
    <cellStyle name="Normal 3 2 3 2 3 3 2" xfId="13558" xr:uid="{584E1BE9-BCE3-4B66-96FE-5EF03EB2497E}"/>
    <cellStyle name="Normal 3 2 3 2 3 3 3" xfId="21986" xr:uid="{FB9C4320-8B35-455A-B58A-6B72571DD11D}"/>
    <cellStyle name="Normal 3 2 3 2 3 4" xfId="9340" xr:uid="{F5F0FE51-D980-44B1-B030-6AC8E34CDCE6}"/>
    <cellStyle name="Normal 3 2 3 2 3 5" xfId="17769" xr:uid="{D45155A1-B7BA-4803-80B6-97A1FD5A9225}"/>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16" xr:uid="{B2BD6359-9AB9-4BF4-8A0E-24A0CB232079}"/>
    <cellStyle name="Normal 3 2 3 2 4 2 2 3" xfId="24544" xr:uid="{B4FEF0D3-ABCB-4B20-858F-A3F8A3DB15BA}"/>
    <cellStyle name="Normal 3 2 3 2 4 2 3" xfId="11898" xr:uid="{93E2C0D0-7210-4E92-8E51-534C117371C0}"/>
    <cellStyle name="Normal 3 2 3 2 4 2 4" xfId="20327" xr:uid="{6613E05B-AE4B-4AE0-AF24-B42400CDAFDD}"/>
    <cellStyle name="Normal 3 2 3 2 4 3" xfId="5542" xr:uid="{00000000-0005-0000-0000-00009A110000}"/>
    <cellStyle name="Normal 3 2 3 2 4 3 2" xfId="13971" xr:uid="{4A9D418E-1B75-4F47-9FCC-D2E9817B8321}"/>
    <cellStyle name="Normal 3 2 3 2 4 3 3" xfId="22399" xr:uid="{4EFDB0F3-9267-410D-BE63-B1696E01D693}"/>
    <cellStyle name="Normal 3 2 3 2 4 4" xfId="9753" xr:uid="{9E91F773-53BF-4FAD-81DA-F551B065A4A3}"/>
    <cellStyle name="Normal 3 2 3 2 4 5" xfId="18182" xr:uid="{CE65D822-8444-45DA-B676-2B4256020EDD}"/>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9" xr:uid="{DF27DCEA-E8A8-442F-B346-DE17262FB77B}"/>
    <cellStyle name="Normal 3 2 3 2 5 2 2 3" xfId="24957" xr:uid="{20102974-9661-47B6-BAF4-83EB234B2CFB}"/>
    <cellStyle name="Normal 3 2 3 2 5 2 3" xfId="12311" xr:uid="{A8FD185C-78DC-407B-BB62-5E3EE7535035}"/>
    <cellStyle name="Normal 3 2 3 2 5 2 4" xfId="20740" xr:uid="{02FC6594-DD7F-42C6-BC60-52EB78EA3552}"/>
    <cellStyle name="Normal 3 2 3 2 5 3" xfId="5955" xr:uid="{00000000-0005-0000-0000-00009E110000}"/>
    <cellStyle name="Normal 3 2 3 2 5 3 2" xfId="14384" xr:uid="{93287FAF-1049-463A-A603-C4041A4B82CC}"/>
    <cellStyle name="Normal 3 2 3 2 5 3 3" xfId="22812" xr:uid="{A7253CDA-4B97-4571-A147-9BFB78D5E2FC}"/>
    <cellStyle name="Normal 3 2 3 2 5 4" xfId="10166" xr:uid="{15B701CD-A40F-4B5E-AC30-1E2437B16A33}"/>
    <cellStyle name="Normal 3 2 3 2 5 5" xfId="18595" xr:uid="{E9E29B3F-4E11-4843-9489-8B5B2E56FDA0}"/>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42" xr:uid="{990AA710-E8FF-4821-9FCB-0B599170CEC7}"/>
    <cellStyle name="Normal 3 2 3 2 6 2 2 3" xfId="25370" xr:uid="{EBE9AD54-5766-4F9B-9017-AD6658C314E0}"/>
    <cellStyle name="Normal 3 2 3 2 6 2 3" xfId="12724" xr:uid="{8B0A65A3-05BC-4E11-87AC-5B9A3A90451E}"/>
    <cellStyle name="Normal 3 2 3 2 6 2 4" xfId="21153" xr:uid="{6A47676D-D18C-4728-A7A9-9F2EB234465A}"/>
    <cellStyle name="Normal 3 2 3 2 6 3" xfId="6368" xr:uid="{00000000-0005-0000-0000-0000A2110000}"/>
    <cellStyle name="Normal 3 2 3 2 6 3 2" xfId="14797" xr:uid="{7D52855D-5D90-43D0-AFE0-B98D21BA861B}"/>
    <cellStyle name="Normal 3 2 3 2 6 3 3" xfId="23225" xr:uid="{6BC68EA4-3D44-42BF-BD8D-29AA88EA2304}"/>
    <cellStyle name="Normal 3 2 3 2 6 4" xfId="10579" xr:uid="{D57C2C68-794E-4082-BF2A-A910D1B02BB0}"/>
    <cellStyle name="Normal 3 2 3 2 6 5" xfId="19008" xr:uid="{6979574D-0FE9-4822-BEE9-A394E02E5CB8}"/>
    <cellStyle name="Normal 3 2 3 2 7" xfId="2496" xr:uid="{00000000-0005-0000-0000-0000A3110000}"/>
    <cellStyle name="Normal 3 2 3 2 7 2" xfId="6781" xr:uid="{00000000-0005-0000-0000-0000A4110000}"/>
    <cellStyle name="Normal 3 2 3 2 7 2 2" xfId="15210" xr:uid="{56783659-22EA-449D-A366-E13783C87945}"/>
    <cellStyle name="Normal 3 2 3 2 7 2 3" xfId="23638" xr:uid="{8C0A618A-4F60-4436-90EC-CA2356EBA4A6}"/>
    <cellStyle name="Normal 3 2 3 2 7 3" xfId="10992" xr:uid="{B37C1A55-E715-4E0F-AB8A-1A8D2B9A3E84}"/>
    <cellStyle name="Normal 3 2 3 2 7 4" xfId="19421" xr:uid="{EC825A6B-BE69-4B7D-826D-CDB6C159B069}"/>
    <cellStyle name="Normal 3 2 3 2 8" xfId="4715" xr:uid="{00000000-0005-0000-0000-0000A5110000}"/>
    <cellStyle name="Normal 3 2 3 2 8 2" xfId="13144" xr:uid="{0B897C85-DFAD-4CDE-A10A-DEC8206E139B}"/>
    <cellStyle name="Normal 3 2 3 2 8 3" xfId="21572" xr:uid="{ACA7EA5F-9875-4CEA-B183-646AF7ACB6C8}"/>
    <cellStyle name="Normal 3 2 3 2 9" xfId="8926" xr:uid="{4B744606-4620-4713-BFFC-7E7E0DE18F49}"/>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705" xr:uid="{C40B8EA3-0876-4874-95D7-7CF46BC386E6}"/>
    <cellStyle name="Normal 3 2 3 3 2 2 2 3" xfId="24133" xr:uid="{2090D02A-A57C-404A-BEBE-CA3F09B011BD}"/>
    <cellStyle name="Normal 3 2 3 3 2 2 3" xfId="11487" xr:uid="{D0F3E17E-EC69-496C-B06B-F973BEB64729}"/>
    <cellStyle name="Normal 3 2 3 3 2 2 4" xfId="19916" xr:uid="{D90A2BE9-91E1-4585-8C1E-A56276F757C7}"/>
    <cellStyle name="Normal 3 2 3 3 2 3" xfId="5131" xr:uid="{00000000-0005-0000-0000-0000AA110000}"/>
    <cellStyle name="Normal 3 2 3 3 2 3 2" xfId="13560" xr:uid="{56EA2390-1CA1-4E3D-AAF1-0B83B40F55D1}"/>
    <cellStyle name="Normal 3 2 3 3 2 3 3" xfId="21988" xr:uid="{4EECB897-251C-40AA-92D8-F71D91B19D96}"/>
    <cellStyle name="Normal 3 2 3 3 2 4" xfId="9342" xr:uid="{47F6C7FB-D4E8-4234-BA6D-D35E1060460B}"/>
    <cellStyle name="Normal 3 2 3 3 2 5" xfId="17771" xr:uid="{1CEB6C19-6BB2-4526-AC34-54A254439037}"/>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8" xr:uid="{E0DA8D6A-8DEA-4C4C-9FAE-EBA5AEDE6623}"/>
    <cellStyle name="Normal 3 2 3 3 3 2 2 3" xfId="24546" xr:uid="{29417266-F50A-4E85-903D-33DF08E61A17}"/>
    <cellStyle name="Normal 3 2 3 3 3 2 3" xfId="11900" xr:uid="{1509591A-6C7E-48D0-B929-AB6EFACB0B05}"/>
    <cellStyle name="Normal 3 2 3 3 3 2 4" xfId="20329" xr:uid="{C571FFE9-9E3D-4A89-9B81-64CC928630B6}"/>
    <cellStyle name="Normal 3 2 3 3 3 3" xfId="5544" xr:uid="{00000000-0005-0000-0000-0000AE110000}"/>
    <cellStyle name="Normal 3 2 3 3 3 3 2" xfId="13973" xr:uid="{FADDA125-3D5C-4B2F-9353-BCEFF9525D98}"/>
    <cellStyle name="Normal 3 2 3 3 3 3 3" xfId="22401" xr:uid="{900D18F3-1B7F-460B-A890-AF8042CD2B44}"/>
    <cellStyle name="Normal 3 2 3 3 3 4" xfId="9755" xr:uid="{0E8CFBE8-133C-495C-B34A-2F92F205C63E}"/>
    <cellStyle name="Normal 3 2 3 3 3 5" xfId="18184" xr:uid="{37DB54A6-C067-4C15-9993-D66CE001240C}"/>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31" xr:uid="{C00A04DB-8DF9-42F1-ADE3-5FE0AC78E239}"/>
    <cellStyle name="Normal 3 2 3 3 4 2 2 3" xfId="24959" xr:uid="{CC761D64-F018-4018-B1B6-C4994F8CE3DB}"/>
    <cellStyle name="Normal 3 2 3 3 4 2 3" xfId="12313" xr:uid="{357D9FAA-0A9C-4FEC-9C10-FDC254E27F54}"/>
    <cellStyle name="Normal 3 2 3 3 4 2 4" xfId="20742" xr:uid="{5A601890-EC85-47E2-821F-5307AA69C280}"/>
    <cellStyle name="Normal 3 2 3 3 4 3" xfId="5957" xr:uid="{00000000-0005-0000-0000-0000B2110000}"/>
    <cellStyle name="Normal 3 2 3 3 4 3 2" xfId="14386" xr:uid="{B070E87C-FCE1-47CC-9D8D-16154B71C9DF}"/>
    <cellStyle name="Normal 3 2 3 3 4 3 3" xfId="22814" xr:uid="{0AF11CD3-631C-47A2-AFB0-557A8E6B4E25}"/>
    <cellStyle name="Normal 3 2 3 3 4 4" xfId="10168" xr:uid="{7977FBC8-37A3-40AC-8CD5-B274578C8C72}"/>
    <cellStyle name="Normal 3 2 3 3 4 5" xfId="18597" xr:uid="{D363A23F-080B-4F6B-A7FB-0F9CF5A8A238}"/>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44" xr:uid="{01962371-F58E-46AE-89D2-9840EFAEBBCC}"/>
    <cellStyle name="Normal 3 2 3 3 5 2 2 3" xfId="25372" xr:uid="{E229DD83-7257-4433-AC73-D26F65BC8FEE}"/>
    <cellStyle name="Normal 3 2 3 3 5 2 3" xfId="12726" xr:uid="{3471E92E-A032-4A23-8EE0-5DC9668E1EEE}"/>
    <cellStyle name="Normal 3 2 3 3 5 2 4" xfId="21155" xr:uid="{B86C7E54-5BB8-477A-A977-72071980BF17}"/>
    <cellStyle name="Normal 3 2 3 3 5 3" xfId="6370" xr:uid="{00000000-0005-0000-0000-0000B6110000}"/>
    <cellStyle name="Normal 3 2 3 3 5 3 2" xfId="14799" xr:uid="{28981830-3270-46FD-B692-C3CD699CD5ED}"/>
    <cellStyle name="Normal 3 2 3 3 5 3 3" xfId="23227" xr:uid="{6A612CA8-1F36-466E-A597-D1BB8CFC2F48}"/>
    <cellStyle name="Normal 3 2 3 3 5 4" xfId="10581" xr:uid="{9337B40B-26BD-4F31-84BB-09AAE29B2D2C}"/>
    <cellStyle name="Normal 3 2 3 3 5 5" xfId="19010" xr:uid="{F43D8CEE-45DF-4458-B9CF-8AB683270B0E}"/>
    <cellStyle name="Normal 3 2 3 3 6" xfId="2498" xr:uid="{00000000-0005-0000-0000-0000B7110000}"/>
    <cellStyle name="Normal 3 2 3 3 6 2" xfId="6783" xr:uid="{00000000-0005-0000-0000-0000B8110000}"/>
    <cellStyle name="Normal 3 2 3 3 6 2 2" xfId="15212" xr:uid="{E804564F-3519-4AB9-ABDC-5BF21383DEDE}"/>
    <cellStyle name="Normal 3 2 3 3 6 2 3" xfId="23640" xr:uid="{A856EF0B-37F0-4CFF-9A77-94EB54D46FC1}"/>
    <cellStyle name="Normal 3 2 3 3 6 3" xfId="10994" xr:uid="{80F5F909-9A6D-4E7C-BBFF-8BB5C77CF343}"/>
    <cellStyle name="Normal 3 2 3 3 6 4" xfId="19423" xr:uid="{BAB38FC0-4516-4314-B601-51D5E554C155}"/>
    <cellStyle name="Normal 3 2 3 3 7" xfId="4717" xr:uid="{00000000-0005-0000-0000-0000B9110000}"/>
    <cellStyle name="Normal 3 2 3 3 7 2" xfId="13146" xr:uid="{18CECC89-139B-4D07-8989-19A373DD6E9E}"/>
    <cellStyle name="Normal 3 2 3 3 7 3" xfId="21574" xr:uid="{3D78031E-85F4-49A3-A163-7E9FEE3A6D97}"/>
    <cellStyle name="Normal 3 2 3 3 8" xfId="8928" xr:uid="{0AA538F7-5174-470C-B4E5-F5A9B9C54ACB}"/>
    <cellStyle name="Normal 3 2 3 3 9" xfId="17357" xr:uid="{181A30A5-0DC3-43F6-B4D3-838E043BF8A7}"/>
    <cellStyle name="Normal 3 2 3 4" xfId="812" xr:uid="{00000000-0005-0000-0000-0000BA110000}"/>
    <cellStyle name="Normal 3 2 3 4 2" xfId="3049" xr:uid="{00000000-0005-0000-0000-0000BB110000}"/>
    <cellStyle name="Normal 3 2 3 4 2 2" xfId="7273" xr:uid="{00000000-0005-0000-0000-0000BC110000}"/>
    <cellStyle name="Normal 3 2 3 4 2 2 2" xfId="15702" xr:uid="{DA42925D-77CA-440A-939F-6A0B543CDFDC}"/>
    <cellStyle name="Normal 3 2 3 4 2 2 3" xfId="24130" xr:uid="{6CD000E4-2815-483B-91EE-E1951A53CEFF}"/>
    <cellStyle name="Normal 3 2 3 4 2 3" xfId="11484" xr:uid="{43952C4F-712A-4F68-9C88-2A488E1CDEE6}"/>
    <cellStyle name="Normal 3 2 3 4 2 4" xfId="19913" xr:uid="{E45008AE-E49B-463E-8698-E33BAF4B9CB0}"/>
    <cellStyle name="Normal 3 2 3 4 3" xfId="5128" xr:uid="{00000000-0005-0000-0000-0000BD110000}"/>
    <cellStyle name="Normal 3 2 3 4 3 2" xfId="13557" xr:uid="{E31596CF-BFF5-49C8-A8C8-3A6752E08F69}"/>
    <cellStyle name="Normal 3 2 3 4 3 3" xfId="21985" xr:uid="{1B7334EE-7BF6-43CB-A47B-D86FEAF55897}"/>
    <cellStyle name="Normal 3 2 3 4 4" xfId="9339" xr:uid="{06533075-07D6-4B59-BF0A-4F41F3A4A5E9}"/>
    <cellStyle name="Normal 3 2 3 4 5" xfId="17768" xr:uid="{8C8BACFB-973D-4B2C-BECC-FB86EA74EAC5}"/>
    <cellStyle name="Normal 3 2 3 5" xfId="1232" xr:uid="{00000000-0005-0000-0000-0000BE110000}"/>
    <cellStyle name="Normal 3 2 3 5 2" xfId="3462" xr:uid="{00000000-0005-0000-0000-0000BF110000}"/>
    <cellStyle name="Normal 3 2 3 5 2 2" xfId="7686" xr:uid="{00000000-0005-0000-0000-0000C0110000}"/>
    <cellStyle name="Normal 3 2 3 5 2 2 2" xfId="16115" xr:uid="{15E3D5AA-2C48-4AB6-8EB2-B056C29D46C7}"/>
    <cellStyle name="Normal 3 2 3 5 2 2 3" xfId="24543" xr:uid="{7CD78D66-F680-4037-AAE5-AE534697861E}"/>
    <cellStyle name="Normal 3 2 3 5 2 3" xfId="11897" xr:uid="{9AB9D857-EC9A-4063-908E-A956F4358875}"/>
    <cellStyle name="Normal 3 2 3 5 2 4" xfId="20326" xr:uid="{51C615F3-99A0-41D0-9E52-2044442FEF01}"/>
    <cellStyle name="Normal 3 2 3 5 3" xfId="5541" xr:uid="{00000000-0005-0000-0000-0000C1110000}"/>
    <cellStyle name="Normal 3 2 3 5 3 2" xfId="13970" xr:uid="{8DBBDFFB-9D0B-4E6A-998D-674D57E397F4}"/>
    <cellStyle name="Normal 3 2 3 5 3 3" xfId="22398" xr:uid="{D5EE30C1-FDD3-4E57-8619-5027A1212D13}"/>
    <cellStyle name="Normal 3 2 3 5 4" xfId="9752" xr:uid="{AB3A7DE2-630B-49D6-8A0E-4D1A4E628335}"/>
    <cellStyle name="Normal 3 2 3 5 5" xfId="18181" xr:uid="{C612CB57-60B8-4C6B-9866-C22F17D57991}"/>
    <cellStyle name="Normal 3 2 3 6" xfId="1645" xr:uid="{00000000-0005-0000-0000-0000C2110000}"/>
    <cellStyle name="Normal 3 2 3 6 2" xfId="3875" xr:uid="{00000000-0005-0000-0000-0000C3110000}"/>
    <cellStyle name="Normal 3 2 3 6 2 2" xfId="8099" xr:uid="{00000000-0005-0000-0000-0000C4110000}"/>
    <cellStyle name="Normal 3 2 3 6 2 2 2" xfId="16528" xr:uid="{40B91086-6054-4690-A35C-F8C90F4FB1D0}"/>
    <cellStyle name="Normal 3 2 3 6 2 2 3" xfId="24956" xr:uid="{DD9124A5-C4EB-41BD-8208-7282D16AC498}"/>
    <cellStyle name="Normal 3 2 3 6 2 3" xfId="12310" xr:uid="{C6190800-7E52-4276-819D-C8C3BC609463}"/>
    <cellStyle name="Normal 3 2 3 6 2 4" xfId="20739" xr:uid="{20BCAB94-1D9C-4E41-BA74-5C8DA383A658}"/>
    <cellStyle name="Normal 3 2 3 6 3" xfId="5954" xr:uid="{00000000-0005-0000-0000-0000C5110000}"/>
    <cellStyle name="Normal 3 2 3 6 3 2" xfId="14383" xr:uid="{57D6EEC8-8120-46BD-AAB6-0B8BF2DB00C6}"/>
    <cellStyle name="Normal 3 2 3 6 3 3" xfId="22811" xr:uid="{BE207FEC-F907-4858-AC84-FD514328EF10}"/>
    <cellStyle name="Normal 3 2 3 6 4" xfId="10165" xr:uid="{CFCE4998-18B4-4866-B9F5-A854B861A5C8}"/>
    <cellStyle name="Normal 3 2 3 6 5" xfId="18594" xr:uid="{E8E7D6AC-37C5-4D7D-B103-FECFB8CFF10E}"/>
    <cellStyle name="Normal 3 2 3 7" xfId="2059" xr:uid="{00000000-0005-0000-0000-0000C6110000}"/>
    <cellStyle name="Normal 3 2 3 7 2" xfId="4288" xr:uid="{00000000-0005-0000-0000-0000C7110000}"/>
    <cellStyle name="Normal 3 2 3 7 2 2" xfId="8512" xr:uid="{00000000-0005-0000-0000-0000C8110000}"/>
    <cellStyle name="Normal 3 2 3 7 2 2 2" xfId="16941" xr:uid="{378A134A-28B5-43DC-8AE5-87D914BDBE00}"/>
    <cellStyle name="Normal 3 2 3 7 2 2 3" xfId="25369" xr:uid="{6C785821-E1FB-4232-9568-B6178BBBB5F3}"/>
    <cellStyle name="Normal 3 2 3 7 2 3" xfId="12723" xr:uid="{AE224B78-14EE-4584-B5DF-1965A989F2A8}"/>
    <cellStyle name="Normal 3 2 3 7 2 4" xfId="21152" xr:uid="{113DE672-4E66-4C9C-BF18-312B2986C9E6}"/>
    <cellStyle name="Normal 3 2 3 7 3" xfId="6367" xr:uid="{00000000-0005-0000-0000-0000C9110000}"/>
    <cellStyle name="Normal 3 2 3 7 3 2" xfId="14796" xr:uid="{4D89F80A-48B1-416D-AEBB-B4E776A4C0FA}"/>
    <cellStyle name="Normal 3 2 3 7 3 3" xfId="23224" xr:uid="{7E2D4AB2-079B-4A12-9F11-57765B49258A}"/>
    <cellStyle name="Normal 3 2 3 7 4" xfId="10578" xr:uid="{3B020E46-A80A-4300-ADF4-526C5E57CBF7}"/>
    <cellStyle name="Normal 3 2 3 7 5" xfId="19007" xr:uid="{E3CEC042-30EB-47CC-8724-82479446200C}"/>
    <cellStyle name="Normal 3 2 3 8" xfId="2495" xr:uid="{00000000-0005-0000-0000-0000CA110000}"/>
    <cellStyle name="Normal 3 2 3 8 2" xfId="6780" xr:uid="{00000000-0005-0000-0000-0000CB110000}"/>
    <cellStyle name="Normal 3 2 3 8 2 2" xfId="15209" xr:uid="{AC29F29F-F973-4812-9BF8-D33EF7F405C2}"/>
    <cellStyle name="Normal 3 2 3 8 2 3" xfId="23637" xr:uid="{137DA0A9-8B4A-47F9-B19D-BA66F69B41DE}"/>
    <cellStyle name="Normal 3 2 3 8 3" xfId="10991" xr:uid="{61DF95CE-E099-43A0-8244-6D7B88BCFCA7}"/>
    <cellStyle name="Normal 3 2 3 8 4" xfId="19420" xr:uid="{91F355C4-869F-4D84-8AE5-326A3BCCB09D}"/>
    <cellStyle name="Normal 3 2 3 9" xfId="4714" xr:uid="{00000000-0005-0000-0000-0000CC110000}"/>
    <cellStyle name="Normal 3 2 3 9 2" xfId="13143" xr:uid="{CB7E33A7-17F8-4FCA-9774-D600CFED0BFA}"/>
    <cellStyle name="Normal 3 2 3 9 3" xfId="21571" xr:uid="{0ECCC718-79CF-49D9-8C1A-6B5C81318F09}"/>
    <cellStyle name="Normal 3 2 4" xfId="810" xr:uid="{00000000-0005-0000-0000-0000CD110000}"/>
    <cellStyle name="Normal 3 2 4 2" xfId="3048" xr:uid="{00000000-0005-0000-0000-0000CE110000}"/>
    <cellStyle name="Normal 3 2 4 2 2" xfId="7272" xr:uid="{00000000-0005-0000-0000-0000CF110000}"/>
    <cellStyle name="Normal 3 2 4 2 2 2" xfId="15701" xr:uid="{EAAC6FBE-ADA1-412B-A39A-27249F42869E}"/>
    <cellStyle name="Normal 3 2 4 2 2 3" xfId="24129" xr:uid="{477072F2-704D-432A-851E-9F6E08BFCA2A}"/>
    <cellStyle name="Normal 3 2 4 2 3" xfId="11483" xr:uid="{C3B500C9-168A-4933-9912-6FB554433262}"/>
    <cellStyle name="Normal 3 2 4 2 4" xfId="19912" xr:uid="{6BEAEB97-E2A8-4C46-84E5-176039E07B5C}"/>
    <cellStyle name="Normal 3 2 4 3" xfId="5127" xr:uid="{00000000-0005-0000-0000-0000D0110000}"/>
    <cellStyle name="Normal 3 2 4 3 2" xfId="13556" xr:uid="{A94C600F-45F1-4A84-9643-6EE7D7F17745}"/>
    <cellStyle name="Normal 3 2 4 3 3" xfId="21984" xr:uid="{3784F7B8-C523-45D4-A26E-7FC74091E6FD}"/>
    <cellStyle name="Normal 3 2 4 4" xfId="9338" xr:uid="{E8D920BE-2CC5-4BA5-A930-02C2237F29CF}"/>
    <cellStyle name="Normal 3 2 4 5" xfId="17767" xr:uid="{878165D7-6780-4CCA-98A6-931B580D8059}"/>
    <cellStyle name="Normal 3 2 5" xfId="1231" xr:uid="{00000000-0005-0000-0000-0000D1110000}"/>
    <cellStyle name="Normal 3 2 5 2" xfId="3461" xr:uid="{00000000-0005-0000-0000-0000D2110000}"/>
    <cellStyle name="Normal 3 2 5 2 2" xfId="7685" xr:uid="{00000000-0005-0000-0000-0000D3110000}"/>
    <cellStyle name="Normal 3 2 5 2 2 2" xfId="16114" xr:uid="{E1ED3035-8599-4983-AFC2-253483445AFE}"/>
    <cellStyle name="Normal 3 2 5 2 2 3" xfId="24542" xr:uid="{BAD271AD-E4A3-4789-9976-A310BEEE1745}"/>
    <cellStyle name="Normal 3 2 5 2 3" xfId="11896" xr:uid="{E90DB78C-AE06-438A-9BE6-96ECF6C40AFF}"/>
    <cellStyle name="Normal 3 2 5 2 4" xfId="20325" xr:uid="{751D9629-ABE5-4FFF-A803-6B52A0EAE497}"/>
    <cellStyle name="Normal 3 2 5 3" xfId="5540" xr:uid="{00000000-0005-0000-0000-0000D4110000}"/>
    <cellStyle name="Normal 3 2 5 3 2" xfId="13969" xr:uid="{CA027EAC-818F-4A8B-9E24-7725F58E4D69}"/>
    <cellStyle name="Normal 3 2 5 3 3" xfId="22397" xr:uid="{75AB42AD-72D3-4570-A938-61E725811D83}"/>
    <cellStyle name="Normal 3 2 5 4" xfId="9751" xr:uid="{6BE35C6F-F5F5-4DC1-B71E-A926EAFB2D4F}"/>
    <cellStyle name="Normal 3 2 5 5" xfId="18180" xr:uid="{D3B24072-B11F-4C5D-A43B-BD1F505928F6}"/>
    <cellStyle name="Normal 3 2 6" xfId="1644" xr:uid="{00000000-0005-0000-0000-0000D5110000}"/>
    <cellStyle name="Normal 3 2 6 2" xfId="3874" xr:uid="{00000000-0005-0000-0000-0000D6110000}"/>
    <cellStyle name="Normal 3 2 6 2 2" xfId="8098" xr:uid="{00000000-0005-0000-0000-0000D7110000}"/>
    <cellStyle name="Normal 3 2 6 2 2 2" xfId="16527" xr:uid="{DD234A08-A229-4177-A2F0-8907C4485693}"/>
    <cellStyle name="Normal 3 2 6 2 2 3" xfId="24955" xr:uid="{9F363F5F-46D0-418D-B2CC-BA042CEFA387}"/>
    <cellStyle name="Normal 3 2 6 2 3" xfId="12309" xr:uid="{2510B55F-AED8-4C07-8D4A-E4E945BE681D}"/>
    <cellStyle name="Normal 3 2 6 2 4" xfId="20738" xr:uid="{08C901FC-27A9-40DD-B4E0-CE981CDAD941}"/>
    <cellStyle name="Normal 3 2 6 3" xfId="5953" xr:uid="{00000000-0005-0000-0000-0000D8110000}"/>
    <cellStyle name="Normal 3 2 6 3 2" xfId="14382" xr:uid="{160CC4D8-7624-482A-90BD-A75E16126AAA}"/>
    <cellStyle name="Normal 3 2 6 3 3" xfId="22810" xr:uid="{969FDBFB-55B8-45DD-8ACD-11CB60E57597}"/>
    <cellStyle name="Normal 3 2 6 4" xfId="10164" xr:uid="{E953123F-B828-42BD-8284-33A899DAE855}"/>
    <cellStyle name="Normal 3 2 6 5" xfId="18593" xr:uid="{00CF8285-BCDB-4696-98F1-5826390D3961}"/>
    <cellStyle name="Normal 3 2 7" xfId="2058" xr:uid="{00000000-0005-0000-0000-0000D9110000}"/>
    <cellStyle name="Normal 3 2 7 2" xfId="4287" xr:uid="{00000000-0005-0000-0000-0000DA110000}"/>
    <cellStyle name="Normal 3 2 7 2 2" xfId="8511" xr:uid="{00000000-0005-0000-0000-0000DB110000}"/>
    <cellStyle name="Normal 3 2 7 2 2 2" xfId="16940" xr:uid="{88F34605-E08C-41C0-A6C9-16B365ED89BF}"/>
    <cellStyle name="Normal 3 2 7 2 2 3" xfId="25368" xr:uid="{C04E37E4-AF34-404C-8EFB-F0906FDFC7A9}"/>
    <cellStyle name="Normal 3 2 7 2 3" xfId="12722" xr:uid="{9A4862C2-C22C-4B6B-848B-2C9C76B87E61}"/>
    <cellStyle name="Normal 3 2 7 2 4" xfId="21151" xr:uid="{FE72CCE5-07D8-44C9-8C7B-270000F8C94A}"/>
    <cellStyle name="Normal 3 2 7 3" xfId="6366" xr:uid="{00000000-0005-0000-0000-0000DC110000}"/>
    <cellStyle name="Normal 3 2 7 3 2" xfId="14795" xr:uid="{A34FFAB4-C731-47FB-BE4A-2E8E619BF289}"/>
    <cellStyle name="Normal 3 2 7 3 3" xfId="23223" xr:uid="{2777E458-929A-440D-BAB9-A01CFFE8DADB}"/>
    <cellStyle name="Normal 3 2 7 4" xfId="10577" xr:uid="{6B8ECC22-3EC3-4D09-B517-CA61BA3F4174}"/>
    <cellStyle name="Normal 3 2 7 5" xfId="19006" xr:uid="{302C42AA-B150-4067-B27E-38CD70CAAC8A}"/>
    <cellStyle name="Normal 3 2 8" xfId="2494" xr:uid="{00000000-0005-0000-0000-0000DD110000}"/>
    <cellStyle name="Normal 3 2 8 2" xfId="6779" xr:uid="{00000000-0005-0000-0000-0000DE110000}"/>
    <cellStyle name="Normal 3 2 8 2 2" xfId="15208" xr:uid="{41BE0292-6163-44E3-9DF0-28A6A1F7DB18}"/>
    <cellStyle name="Normal 3 2 8 2 3" xfId="23636" xr:uid="{AA60A414-82DC-4E99-B0BC-A8F2E57B8527}"/>
    <cellStyle name="Normal 3 2 8 3" xfId="10990" xr:uid="{618985EE-82FD-4C03-891D-4E3718601989}"/>
    <cellStyle name="Normal 3 2 8 4" xfId="19419" xr:uid="{94ED2C58-6D31-4609-8BE7-F732AEB0C50F}"/>
    <cellStyle name="Normal 3 2 9" xfId="4713" xr:uid="{00000000-0005-0000-0000-0000DF110000}"/>
    <cellStyle name="Normal 3 2 9 2" xfId="13142" xr:uid="{C4CB0C13-3E40-4DC8-AF4E-9795ED78D378}"/>
    <cellStyle name="Normal 3 2 9 3" xfId="21570" xr:uid="{101EC996-98F6-449F-885D-0A66AC0B3429}"/>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2B24CAD6-1B45-4AA1-98CD-3D5239ABFB3A}"/>
    <cellStyle name="Normal 4 11" xfId="17358" xr:uid="{ACB86D41-E450-4838-81C9-A1DFC0562146}"/>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45" xr:uid="{484B10EA-A1DF-443C-B440-7BA4877F66A9}"/>
    <cellStyle name="Normal 4 2 2 10 2 2 3" xfId="25373" xr:uid="{59B2331B-AB9B-4554-A11B-FCE6BD5544E4}"/>
    <cellStyle name="Normal 4 2 2 10 2 3" xfId="12727" xr:uid="{FC3B3956-05C9-4457-8DEA-9AFCAD5675B4}"/>
    <cellStyle name="Normal 4 2 2 10 2 4" xfId="21156" xr:uid="{72962BE7-2FD2-484F-AA36-CCFB6A70AF66}"/>
    <cellStyle name="Normal 4 2 2 10 3" xfId="6371" xr:uid="{00000000-0005-0000-0000-0000EC110000}"/>
    <cellStyle name="Normal 4 2 2 10 3 2" xfId="14800" xr:uid="{15AEAD17-754A-47D8-8CBD-BE8EDDFA8417}"/>
    <cellStyle name="Normal 4 2 2 10 3 3" xfId="23228" xr:uid="{D254A29F-0910-4E02-BA2A-F623B7047BE4}"/>
    <cellStyle name="Normal 4 2 2 10 4" xfId="10582" xr:uid="{9981E62E-EAF9-4135-9A4C-F6740734538D}"/>
    <cellStyle name="Normal 4 2 2 10 5" xfId="19011" xr:uid="{0FEDB566-048B-420C-830A-7C4C24620993}"/>
    <cellStyle name="Normal 4 2 2 11" xfId="2499" xr:uid="{00000000-0005-0000-0000-0000ED110000}"/>
    <cellStyle name="Normal 4 2 2 11 2" xfId="6784" xr:uid="{00000000-0005-0000-0000-0000EE110000}"/>
    <cellStyle name="Normal 4 2 2 11 2 2" xfId="15213" xr:uid="{F64120F6-6DAF-4F66-B5D7-5BFF47A6C30B}"/>
    <cellStyle name="Normal 4 2 2 11 2 3" xfId="23641" xr:uid="{0018C4CF-4D51-4EEA-B05C-D64A98C34712}"/>
    <cellStyle name="Normal 4 2 2 11 3" xfId="10995" xr:uid="{FD8A33A2-76B7-47E1-AF98-4349AA4A05CE}"/>
    <cellStyle name="Normal 4 2 2 11 4" xfId="19424" xr:uid="{E02E49F4-6E2C-4791-8416-1FBA8A2B439E}"/>
    <cellStyle name="Normal 4 2 2 12" xfId="4719" xr:uid="{00000000-0005-0000-0000-0000EF110000}"/>
    <cellStyle name="Normal 4 2 2 12 2" xfId="13148" xr:uid="{4C53B66E-8814-43D1-9D40-C315122B22F0}"/>
    <cellStyle name="Normal 4 2 2 12 3" xfId="21576" xr:uid="{39C36EF7-EF43-4FC3-AFE9-E4A36779CBD8}"/>
    <cellStyle name="Normal 4 2 2 13" xfId="8930" xr:uid="{CD5400C6-38CB-4881-AD2F-7894903C3689}"/>
    <cellStyle name="Normal 4 2 2 14" xfId="17359" xr:uid="{0BF9A629-3E7D-4B5C-BF0F-BD28D385101C}"/>
    <cellStyle name="Normal 4 2 2 2" xfId="338" xr:uid="{00000000-0005-0000-0000-0000F0110000}"/>
    <cellStyle name="Normal 4 2 2 3" xfId="339" xr:uid="{00000000-0005-0000-0000-0000F1110000}"/>
    <cellStyle name="Normal 4 2 2 3 10" xfId="4720" xr:uid="{00000000-0005-0000-0000-0000F2110000}"/>
    <cellStyle name="Normal 4 2 2 3 10 2" xfId="13149" xr:uid="{29CFADD0-FBB0-4140-B2BF-CB55DB58F716}"/>
    <cellStyle name="Normal 4 2 2 3 10 3" xfId="21577" xr:uid="{8E951B20-5EC5-4F38-9D1A-63658D939BE6}"/>
    <cellStyle name="Normal 4 2 2 3 11" xfId="8931" xr:uid="{9B8777DC-8D06-4C6C-A46E-43BA13CD071C}"/>
    <cellStyle name="Normal 4 2 2 3 12" xfId="17360" xr:uid="{0AC3533B-E3CC-4EBB-A985-6053764491BD}"/>
    <cellStyle name="Normal 4 2 2 3 2" xfId="340" xr:uid="{00000000-0005-0000-0000-0000F3110000}"/>
    <cellStyle name="Normal 4 2 2 3 2 10" xfId="8932" xr:uid="{9F97F12D-EFA9-4725-B993-34DA633FD958}"/>
    <cellStyle name="Normal 4 2 2 3 2 11" xfId="17361" xr:uid="{85DEA687-6066-457A-BBA3-883C2567CAE3}"/>
    <cellStyle name="Normal 4 2 2 3 2 2" xfId="341" xr:uid="{00000000-0005-0000-0000-0000F4110000}"/>
    <cellStyle name="Normal 4 2 2 3 2 2 10" xfId="17362" xr:uid="{B78EE140-C822-43EC-A684-8F5CAC6F38BC}"/>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10" xr:uid="{4DD30759-D11A-468F-8B52-10AB187FFEB9}"/>
    <cellStyle name="Normal 4 2 2 3 2 2 2 2 2 2 3" xfId="24138" xr:uid="{982D08DF-A51C-498B-87E4-CE44AAB61E93}"/>
    <cellStyle name="Normal 4 2 2 3 2 2 2 2 2 3" xfId="11492" xr:uid="{F3C183B5-975B-4B29-AF0D-4D3888D1AEC2}"/>
    <cellStyle name="Normal 4 2 2 3 2 2 2 2 2 4" xfId="19921" xr:uid="{7CEE8D7E-EAB1-4BC8-A52D-0533AE434758}"/>
    <cellStyle name="Normal 4 2 2 3 2 2 2 2 3" xfId="5136" xr:uid="{00000000-0005-0000-0000-0000F9110000}"/>
    <cellStyle name="Normal 4 2 2 3 2 2 2 2 3 2" xfId="13565" xr:uid="{89EEF580-BCEB-4FCE-80C9-4289B2ABA0FB}"/>
    <cellStyle name="Normal 4 2 2 3 2 2 2 2 3 3" xfId="21993" xr:uid="{14A391A9-DE25-49D5-95C6-DBF111375499}"/>
    <cellStyle name="Normal 4 2 2 3 2 2 2 2 4" xfId="9347" xr:uid="{00B1D457-2A34-4938-8C94-C64634A3A0E8}"/>
    <cellStyle name="Normal 4 2 2 3 2 2 2 2 5" xfId="17776" xr:uid="{25DAD6FD-4324-4FFF-A94C-FAFCC5AA02B7}"/>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23" xr:uid="{6138511B-4F28-4BB3-9D5D-4BF0A8F4CAD6}"/>
    <cellStyle name="Normal 4 2 2 3 2 2 2 3 2 2 3" xfId="24551" xr:uid="{1617D80C-6941-4BC1-A504-1D8D0FF664B2}"/>
    <cellStyle name="Normal 4 2 2 3 2 2 2 3 2 3" xfId="11905" xr:uid="{C94C0646-E64D-46E5-BF77-42F344BA3D5C}"/>
    <cellStyle name="Normal 4 2 2 3 2 2 2 3 2 4" xfId="20334" xr:uid="{77FD188B-21E2-4A61-A0A5-12AEB6802EAA}"/>
    <cellStyle name="Normal 4 2 2 3 2 2 2 3 3" xfId="5549" xr:uid="{00000000-0005-0000-0000-0000FD110000}"/>
    <cellStyle name="Normal 4 2 2 3 2 2 2 3 3 2" xfId="13978" xr:uid="{6EC548AF-CE29-4ED7-9E92-FCB65E76884A}"/>
    <cellStyle name="Normal 4 2 2 3 2 2 2 3 3 3" xfId="22406" xr:uid="{60899613-C431-462B-8450-001F823F1671}"/>
    <cellStyle name="Normal 4 2 2 3 2 2 2 3 4" xfId="9760" xr:uid="{B3B0D866-2BA0-457B-A2FB-E8E4790665DE}"/>
    <cellStyle name="Normal 4 2 2 3 2 2 2 3 5" xfId="18189" xr:uid="{EDBAF010-2B9E-4FC1-81A3-3DD49D533D7D}"/>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36" xr:uid="{C01CFFF5-0C7F-4814-8F7D-E8C73B228627}"/>
    <cellStyle name="Normal 4 2 2 3 2 2 2 4 2 2 3" xfId="24964" xr:uid="{AFB1152E-28D1-4A40-AB9F-BE000DC700AE}"/>
    <cellStyle name="Normal 4 2 2 3 2 2 2 4 2 3" xfId="12318" xr:uid="{884AC4DA-4760-451C-8E6B-6525F5D29862}"/>
    <cellStyle name="Normal 4 2 2 3 2 2 2 4 2 4" xfId="20747" xr:uid="{B7110F83-8678-41D0-8E6E-F1A7B5996A80}"/>
    <cellStyle name="Normal 4 2 2 3 2 2 2 4 3" xfId="5962" xr:uid="{00000000-0005-0000-0000-000001120000}"/>
    <cellStyle name="Normal 4 2 2 3 2 2 2 4 3 2" xfId="14391" xr:uid="{6E927722-896E-49FD-829C-FA3301C39092}"/>
    <cellStyle name="Normal 4 2 2 3 2 2 2 4 3 3" xfId="22819" xr:uid="{B24B6F2B-E17B-4614-B412-407424C69706}"/>
    <cellStyle name="Normal 4 2 2 3 2 2 2 4 4" xfId="10173" xr:uid="{2DF1796C-8254-4F03-A753-77670636919B}"/>
    <cellStyle name="Normal 4 2 2 3 2 2 2 4 5" xfId="18602" xr:uid="{C7D5E41C-C39C-414E-9835-8E669412042B}"/>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9" xr:uid="{F5C73226-9FAE-485B-AFC1-D6DEF9EAFC18}"/>
    <cellStyle name="Normal 4 2 2 3 2 2 2 5 2 2 3" xfId="25377" xr:uid="{8494961B-3A18-4903-AA39-0D4A9353C8C5}"/>
    <cellStyle name="Normal 4 2 2 3 2 2 2 5 2 3" xfId="12731" xr:uid="{E8E297CB-D0D0-48ED-8117-F64ED87763D3}"/>
    <cellStyle name="Normal 4 2 2 3 2 2 2 5 2 4" xfId="21160" xr:uid="{3DB6529C-3E1B-47EF-8B51-EF9FE70148EB}"/>
    <cellStyle name="Normal 4 2 2 3 2 2 2 5 3" xfId="6375" xr:uid="{00000000-0005-0000-0000-000005120000}"/>
    <cellStyle name="Normal 4 2 2 3 2 2 2 5 3 2" xfId="14804" xr:uid="{641467AA-E9E0-4983-BC19-F4030C448346}"/>
    <cellStyle name="Normal 4 2 2 3 2 2 2 5 3 3" xfId="23232" xr:uid="{53105DF5-04C4-4973-9225-311123065A3A}"/>
    <cellStyle name="Normal 4 2 2 3 2 2 2 5 4" xfId="10586" xr:uid="{7AEEE22C-B5E5-45F2-9B9D-877291CE80DF}"/>
    <cellStyle name="Normal 4 2 2 3 2 2 2 5 5" xfId="19015" xr:uid="{63F23440-793A-4E86-9D1B-81ED01C370D2}"/>
    <cellStyle name="Normal 4 2 2 3 2 2 2 6" xfId="2503" xr:uid="{00000000-0005-0000-0000-000006120000}"/>
    <cellStyle name="Normal 4 2 2 3 2 2 2 6 2" xfId="6788" xr:uid="{00000000-0005-0000-0000-000007120000}"/>
    <cellStyle name="Normal 4 2 2 3 2 2 2 6 2 2" xfId="15217" xr:uid="{F3BA54F0-110B-4B3C-90DF-27B35AFB4946}"/>
    <cellStyle name="Normal 4 2 2 3 2 2 2 6 2 3" xfId="23645" xr:uid="{EFB72D5D-01F7-4189-B3CC-24B663792E60}"/>
    <cellStyle name="Normal 4 2 2 3 2 2 2 6 3" xfId="10999" xr:uid="{457723BA-D457-44A9-9A13-4A4BC3C8184F}"/>
    <cellStyle name="Normal 4 2 2 3 2 2 2 6 4" xfId="19428" xr:uid="{656CBEE9-53D3-46BD-8211-80BDF063AE15}"/>
    <cellStyle name="Normal 4 2 2 3 2 2 2 7" xfId="4723" xr:uid="{00000000-0005-0000-0000-000008120000}"/>
    <cellStyle name="Normal 4 2 2 3 2 2 2 7 2" xfId="13152" xr:uid="{E0402141-12EE-4B36-9F33-2E412A5DD2F3}"/>
    <cellStyle name="Normal 4 2 2 3 2 2 2 7 3" xfId="21580" xr:uid="{219EEEAD-5E7D-4D51-8CA6-4D674078177A}"/>
    <cellStyle name="Normal 4 2 2 3 2 2 2 8" xfId="8934" xr:uid="{5B9061B3-E404-4254-9FA1-8BE157C341AA}"/>
    <cellStyle name="Normal 4 2 2 3 2 2 2 9" xfId="17363" xr:uid="{48CB2972-647C-4A36-8258-B81105EA03B7}"/>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9" xr:uid="{0BE05F7D-C8F7-493A-AE10-F02870C5F99E}"/>
    <cellStyle name="Normal 4 2 2 3 2 2 3 2 2 3" xfId="24137" xr:uid="{B4CB16AA-38D6-4DF6-B217-743B62839146}"/>
    <cellStyle name="Normal 4 2 2 3 2 2 3 2 3" xfId="11491" xr:uid="{8CE4C89E-EE10-4AA2-9550-BDC150A59A2C}"/>
    <cellStyle name="Normal 4 2 2 3 2 2 3 2 4" xfId="19920" xr:uid="{EFF67D42-FAE1-4F47-B082-16061092494D}"/>
    <cellStyle name="Normal 4 2 2 3 2 2 3 3" xfId="5135" xr:uid="{00000000-0005-0000-0000-00000C120000}"/>
    <cellStyle name="Normal 4 2 2 3 2 2 3 3 2" xfId="13564" xr:uid="{F01F4CE9-E42A-4A4E-8A46-12BCFFF9DA33}"/>
    <cellStyle name="Normal 4 2 2 3 2 2 3 3 3" xfId="21992" xr:uid="{E2D3621E-7B7C-465B-A343-4D5690701CAA}"/>
    <cellStyle name="Normal 4 2 2 3 2 2 3 4" xfId="9346" xr:uid="{EC65D6A1-12E8-4080-8421-6EB45FF88543}"/>
    <cellStyle name="Normal 4 2 2 3 2 2 3 5" xfId="17775" xr:uid="{D32B9C66-E3F8-44D7-A733-537FDBB2DDC5}"/>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22" xr:uid="{C1A5247B-53D4-4F4A-8E5A-E59086EC819E}"/>
    <cellStyle name="Normal 4 2 2 3 2 2 4 2 2 3" xfId="24550" xr:uid="{2DFE7C50-FF1B-4D24-9B0C-2AB7B55294F0}"/>
    <cellStyle name="Normal 4 2 2 3 2 2 4 2 3" xfId="11904" xr:uid="{3AD87AF4-55FE-4B4A-89E3-FBAB8C4E2F6E}"/>
    <cellStyle name="Normal 4 2 2 3 2 2 4 2 4" xfId="20333" xr:uid="{F9CDA242-04F1-4244-AECF-3B7B631BA6C8}"/>
    <cellStyle name="Normal 4 2 2 3 2 2 4 3" xfId="5548" xr:uid="{00000000-0005-0000-0000-000010120000}"/>
    <cellStyle name="Normal 4 2 2 3 2 2 4 3 2" xfId="13977" xr:uid="{36E3AA92-D8D1-4D0F-9AA1-DA7502219897}"/>
    <cellStyle name="Normal 4 2 2 3 2 2 4 3 3" xfId="22405" xr:uid="{974193D6-67BB-461F-A3DA-102EFB368690}"/>
    <cellStyle name="Normal 4 2 2 3 2 2 4 4" xfId="9759" xr:uid="{B35AF144-DB4E-4BF6-9C0C-D215B94DFDFC}"/>
    <cellStyle name="Normal 4 2 2 3 2 2 4 5" xfId="18188" xr:uid="{6EDCD3C5-EB72-41BA-BE1C-7CE3F924EE99}"/>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35" xr:uid="{BA33DC4D-8A85-44FE-B4CE-BC595965B8ED}"/>
    <cellStyle name="Normal 4 2 2 3 2 2 5 2 2 3" xfId="24963" xr:uid="{73941D96-0AC4-4562-99BB-127DE86F78E8}"/>
    <cellStyle name="Normal 4 2 2 3 2 2 5 2 3" xfId="12317" xr:uid="{4A55E0FE-780D-4FB6-8945-77446BFFBFA2}"/>
    <cellStyle name="Normal 4 2 2 3 2 2 5 2 4" xfId="20746" xr:uid="{66857BD8-CA3E-46EA-926B-998FBDD9D0B7}"/>
    <cellStyle name="Normal 4 2 2 3 2 2 5 3" xfId="5961" xr:uid="{00000000-0005-0000-0000-000014120000}"/>
    <cellStyle name="Normal 4 2 2 3 2 2 5 3 2" xfId="14390" xr:uid="{ECE96D9C-27E0-421F-AF83-12692E6C048B}"/>
    <cellStyle name="Normal 4 2 2 3 2 2 5 3 3" xfId="22818" xr:uid="{DE2DC342-4383-41CF-BDC2-5330F990B270}"/>
    <cellStyle name="Normal 4 2 2 3 2 2 5 4" xfId="10172" xr:uid="{AFC78EED-F7FC-4B7C-ACEB-4D0BE843A2AD}"/>
    <cellStyle name="Normal 4 2 2 3 2 2 5 5" xfId="18601" xr:uid="{7CA58A4A-068C-4CEA-850E-FBC60F9BD934}"/>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8" xr:uid="{16363731-6883-4132-8B9A-A79E2013D99B}"/>
    <cellStyle name="Normal 4 2 2 3 2 2 6 2 2 3" xfId="25376" xr:uid="{FE3FC83C-DA0E-4B4D-9691-54C53CFE41C2}"/>
    <cellStyle name="Normal 4 2 2 3 2 2 6 2 3" xfId="12730" xr:uid="{9482B41D-8C44-4BD5-B208-1D225B0BC4AA}"/>
    <cellStyle name="Normal 4 2 2 3 2 2 6 2 4" xfId="21159" xr:uid="{4B12C076-3DA7-4D84-B37F-AFFED24FDE25}"/>
    <cellStyle name="Normal 4 2 2 3 2 2 6 3" xfId="6374" xr:uid="{00000000-0005-0000-0000-000018120000}"/>
    <cellStyle name="Normal 4 2 2 3 2 2 6 3 2" xfId="14803" xr:uid="{41CD1B36-51D7-404D-84C6-7E43778A1CDE}"/>
    <cellStyle name="Normal 4 2 2 3 2 2 6 3 3" xfId="23231" xr:uid="{7FC703CA-DC7D-43B8-939E-3D09D9DDE744}"/>
    <cellStyle name="Normal 4 2 2 3 2 2 6 4" xfId="10585" xr:uid="{FAA085FD-4044-477B-B813-185F5D8F005E}"/>
    <cellStyle name="Normal 4 2 2 3 2 2 6 5" xfId="19014" xr:uid="{CC895C9E-3356-4C8B-8AE4-1EEA48267C7B}"/>
    <cellStyle name="Normal 4 2 2 3 2 2 7" xfId="2502" xr:uid="{00000000-0005-0000-0000-000019120000}"/>
    <cellStyle name="Normal 4 2 2 3 2 2 7 2" xfId="6787" xr:uid="{00000000-0005-0000-0000-00001A120000}"/>
    <cellStyle name="Normal 4 2 2 3 2 2 7 2 2" xfId="15216" xr:uid="{73A0B2C8-49AD-4C6E-85F2-A88C63C5BC88}"/>
    <cellStyle name="Normal 4 2 2 3 2 2 7 2 3" xfId="23644" xr:uid="{1DDB318F-8007-4765-A88A-C9B855127FBE}"/>
    <cellStyle name="Normal 4 2 2 3 2 2 7 3" xfId="10998" xr:uid="{B1318BF0-519D-4902-B31C-F653F6775939}"/>
    <cellStyle name="Normal 4 2 2 3 2 2 7 4" xfId="19427" xr:uid="{AB04F898-198B-40FC-8AE9-66E9EF09B912}"/>
    <cellStyle name="Normal 4 2 2 3 2 2 8" xfId="4722" xr:uid="{00000000-0005-0000-0000-00001B120000}"/>
    <cellStyle name="Normal 4 2 2 3 2 2 8 2" xfId="13151" xr:uid="{E2A260E0-4B1B-45EE-8E89-E58AC839B90C}"/>
    <cellStyle name="Normal 4 2 2 3 2 2 8 3" xfId="21579" xr:uid="{66D10EDE-F8F6-459E-B5E1-35C575A276C8}"/>
    <cellStyle name="Normal 4 2 2 3 2 2 9" xfId="8933" xr:uid="{CD637CA7-840C-4BE7-BA39-BFACD2C1422C}"/>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11" xr:uid="{A6B591A5-13B8-4A0C-A412-C269DA8D3EAA}"/>
    <cellStyle name="Normal 4 2 2 3 2 3 2 2 2 3" xfId="24139" xr:uid="{501BDEEE-B1C2-49B7-B0FF-6FE6F7B53EFC}"/>
    <cellStyle name="Normal 4 2 2 3 2 3 2 2 3" xfId="11493" xr:uid="{A42BCD57-51D6-4B4B-90E0-9813745344C4}"/>
    <cellStyle name="Normal 4 2 2 3 2 3 2 2 4" xfId="19922" xr:uid="{E3EAFE04-DBD9-4DE9-A899-9FFA17FBCF69}"/>
    <cellStyle name="Normal 4 2 2 3 2 3 2 3" xfId="5137" xr:uid="{00000000-0005-0000-0000-000020120000}"/>
    <cellStyle name="Normal 4 2 2 3 2 3 2 3 2" xfId="13566" xr:uid="{774D6907-39C1-476A-B37F-93404EE6CF6E}"/>
    <cellStyle name="Normal 4 2 2 3 2 3 2 3 3" xfId="21994" xr:uid="{276DCE33-6415-4F50-A9E0-4711E32DE53A}"/>
    <cellStyle name="Normal 4 2 2 3 2 3 2 4" xfId="9348" xr:uid="{977583C1-4F49-4ED0-A626-017EB513FBDE}"/>
    <cellStyle name="Normal 4 2 2 3 2 3 2 5" xfId="17777" xr:uid="{B052315C-680A-4790-92E0-04C3DE3134CC}"/>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24" xr:uid="{1984CCAB-1E72-4B37-B34E-64C39D527770}"/>
    <cellStyle name="Normal 4 2 2 3 2 3 3 2 2 3" xfId="24552" xr:uid="{DD128B5D-8099-401E-84BC-BE8CACB3EE5C}"/>
    <cellStyle name="Normal 4 2 2 3 2 3 3 2 3" xfId="11906" xr:uid="{AB3CBE43-A6EC-476C-BAC1-B6CCAA2FBC23}"/>
    <cellStyle name="Normal 4 2 2 3 2 3 3 2 4" xfId="20335" xr:uid="{F4F7737D-10E8-455A-812E-5C935F997354}"/>
    <cellStyle name="Normal 4 2 2 3 2 3 3 3" xfId="5550" xr:uid="{00000000-0005-0000-0000-000024120000}"/>
    <cellStyle name="Normal 4 2 2 3 2 3 3 3 2" xfId="13979" xr:uid="{16E27665-6131-41E8-B1A2-80B3A0648AD0}"/>
    <cellStyle name="Normal 4 2 2 3 2 3 3 3 3" xfId="22407" xr:uid="{ADEF12B5-9EAB-4948-A8BE-A75C8488B149}"/>
    <cellStyle name="Normal 4 2 2 3 2 3 3 4" xfId="9761" xr:uid="{669162C5-DF34-4472-A918-49E1DE701487}"/>
    <cellStyle name="Normal 4 2 2 3 2 3 3 5" xfId="18190" xr:uid="{F41F3148-5750-4449-9FF7-7A99D10167D7}"/>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7" xr:uid="{C3E1F869-07B1-4BFA-939B-0C2ACCEB960B}"/>
    <cellStyle name="Normal 4 2 2 3 2 3 4 2 2 3" xfId="24965" xr:uid="{6BDA7F52-DE43-485F-A882-A7D98C448F0E}"/>
    <cellStyle name="Normal 4 2 2 3 2 3 4 2 3" xfId="12319" xr:uid="{8BE83965-2757-4FF3-8D8E-EAF7748039F4}"/>
    <cellStyle name="Normal 4 2 2 3 2 3 4 2 4" xfId="20748" xr:uid="{89F43F59-5172-482D-87C2-E892E3F1992A}"/>
    <cellStyle name="Normal 4 2 2 3 2 3 4 3" xfId="5963" xr:uid="{00000000-0005-0000-0000-000028120000}"/>
    <cellStyle name="Normal 4 2 2 3 2 3 4 3 2" xfId="14392" xr:uid="{17742B0C-D174-422A-89A3-CF8F6A1750AF}"/>
    <cellStyle name="Normal 4 2 2 3 2 3 4 3 3" xfId="22820" xr:uid="{6A73E6BF-C737-4830-B23B-DF200FC879A6}"/>
    <cellStyle name="Normal 4 2 2 3 2 3 4 4" xfId="10174" xr:uid="{31BA64D5-3260-4FC0-AC9E-5E7AD574A82B}"/>
    <cellStyle name="Normal 4 2 2 3 2 3 4 5" xfId="18603" xr:uid="{A5350A74-88AC-4688-BA4C-CA7836E629DE}"/>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50" xr:uid="{2D12A51C-05AC-4D10-B632-95977F7590BF}"/>
    <cellStyle name="Normal 4 2 2 3 2 3 5 2 2 3" xfId="25378" xr:uid="{49CD7BD4-BFDA-41E3-B051-EB8A7FA20188}"/>
    <cellStyle name="Normal 4 2 2 3 2 3 5 2 3" xfId="12732" xr:uid="{2108669E-84EB-4EE8-8AD1-D716A5AD5DAB}"/>
    <cellStyle name="Normal 4 2 2 3 2 3 5 2 4" xfId="21161" xr:uid="{56D63DCB-7856-47B9-A4AD-0552223E8B21}"/>
    <cellStyle name="Normal 4 2 2 3 2 3 5 3" xfId="6376" xr:uid="{00000000-0005-0000-0000-00002C120000}"/>
    <cellStyle name="Normal 4 2 2 3 2 3 5 3 2" xfId="14805" xr:uid="{C14163D2-BCB2-4B38-AE73-902C1A313F29}"/>
    <cellStyle name="Normal 4 2 2 3 2 3 5 3 3" xfId="23233" xr:uid="{AA8A73DD-1321-4563-908C-91F355900218}"/>
    <cellStyle name="Normal 4 2 2 3 2 3 5 4" xfId="10587" xr:uid="{A913036B-7CCA-4D94-87CB-C9045A1EDAA5}"/>
    <cellStyle name="Normal 4 2 2 3 2 3 5 5" xfId="19016" xr:uid="{12795744-D5FA-461A-852F-8105AE254F82}"/>
    <cellStyle name="Normal 4 2 2 3 2 3 6" xfId="2504" xr:uid="{00000000-0005-0000-0000-00002D120000}"/>
    <cellStyle name="Normal 4 2 2 3 2 3 6 2" xfId="6789" xr:uid="{00000000-0005-0000-0000-00002E120000}"/>
    <cellStyle name="Normal 4 2 2 3 2 3 6 2 2" xfId="15218" xr:uid="{7CF0AD1F-D14A-41DB-939B-C055B6A211F5}"/>
    <cellStyle name="Normal 4 2 2 3 2 3 6 2 3" xfId="23646" xr:uid="{A07E0499-72C8-4794-B493-228F0318E1D6}"/>
    <cellStyle name="Normal 4 2 2 3 2 3 6 3" xfId="11000" xr:uid="{7E29F46A-DBEF-452C-A4EB-243CCD1076B2}"/>
    <cellStyle name="Normal 4 2 2 3 2 3 6 4" xfId="19429" xr:uid="{1F61E7CD-123A-4619-B19A-667361AC9451}"/>
    <cellStyle name="Normal 4 2 2 3 2 3 7" xfId="4724" xr:uid="{00000000-0005-0000-0000-00002F120000}"/>
    <cellStyle name="Normal 4 2 2 3 2 3 7 2" xfId="13153" xr:uid="{65ED8FC6-F1D3-4F93-AB5A-AE1AA1F305F9}"/>
    <cellStyle name="Normal 4 2 2 3 2 3 7 3" xfId="21581" xr:uid="{8A2B864A-B0C1-4E74-9A26-65040876787B}"/>
    <cellStyle name="Normal 4 2 2 3 2 3 8" xfId="8935" xr:uid="{691F34EC-4EC5-4B84-892B-19EB9D5ACB84}"/>
    <cellStyle name="Normal 4 2 2 3 2 3 9" xfId="17364" xr:uid="{AAA4CA7C-74FC-4B1B-AD6A-4CE5E764F69F}"/>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8" xr:uid="{ECD5D008-A834-4DD9-9381-568DD16B86D5}"/>
    <cellStyle name="Normal 4 2 2 3 2 4 2 2 3" xfId="24136" xr:uid="{96B963DD-E6A9-4B40-9575-4ED5ED0297EF}"/>
    <cellStyle name="Normal 4 2 2 3 2 4 2 3" xfId="11490" xr:uid="{E1C51D67-E7F5-405F-85E8-86190EB80A6E}"/>
    <cellStyle name="Normal 4 2 2 3 2 4 2 4" xfId="19919" xr:uid="{C960CE9B-3960-458A-B928-99FD7783C5B1}"/>
    <cellStyle name="Normal 4 2 2 3 2 4 3" xfId="5134" xr:uid="{00000000-0005-0000-0000-000033120000}"/>
    <cellStyle name="Normal 4 2 2 3 2 4 3 2" xfId="13563" xr:uid="{2C3B01BF-490A-464F-917F-23975CD3D5B4}"/>
    <cellStyle name="Normal 4 2 2 3 2 4 3 3" xfId="21991" xr:uid="{2AC90BF5-6105-4E28-831A-E39A4E7202D7}"/>
    <cellStyle name="Normal 4 2 2 3 2 4 4" xfId="9345" xr:uid="{911FBC59-48B4-417E-83FC-12DF36BE9C98}"/>
    <cellStyle name="Normal 4 2 2 3 2 4 5" xfId="17774" xr:uid="{BABDAC3A-F0F9-44A1-9E89-86D43C25645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21" xr:uid="{A7196E18-EB50-45DD-A458-1BCFEE6624CC}"/>
    <cellStyle name="Normal 4 2 2 3 2 5 2 2 3" xfId="24549" xr:uid="{531FF552-120B-4E82-BD5F-ADEFC123DEB3}"/>
    <cellStyle name="Normal 4 2 2 3 2 5 2 3" xfId="11903" xr:uid="{375C583E-245C-4C0A-BF3B-A34BDA5013F3}"/>
    <cellStyle name="Normal 4 2 2 3 2 5 2 4" xfId="20332" xr:uid="{9FB1503D-E998-4B9C-936A-2D39FE188359}"/>
    <cellStyle name="Normal 4 2 2 3 2 5 3" xfId="5547" xr:uid="{00000000-0005-0000-0000-000037120000}"/>
    <cellStyle name="Normal 4 2 2 3 2 5 3 2" xfId="13976" xr:uid="{671B50E1-2B69-4529-91AD-36FB74846975}"/>
    <cellStyle name="Normal 4 2 2 3 2 5 3 3" xfId="22404" xr:uid="{2D14ADCD-93DF-4C93-ABDC-8F1560F721E2}"/>
    <cellStyle name="Normal 4 2 2 3 2 5 4" xfId="9758" xr:uid="{B13EE44A-7F86-44CF-BC4B-F524E98C601F}"/>
    <cellStyle name="Normal 4 2 2 3 2 5 5" xfId="18187" xr:uid="{CD37F800-CF18-4759-A261-C38FA0011D6D}"/>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34" xr:uid="{C4A0F80B-3E27-4FFD-8128-F99BA4C0FFEE}"/>
    <cellStyle name="Normal 4 2 2 3 2 6 2 2 3" xfId="24962" xr:uid="{25AC1ED5-5E5C-4AC8-89BB-70DD77AA9A97}"/>
    <cellStyle name="Normal 4 2 2 3 2 6 2 3" xfId="12316" xr:uid="{33193E80-94B8-45D1-BE0F-7B6664CF440B}"/>
    <cellStyle name="Normal 4 2 2 3 2 6 2 4" xfId="20745" xr:uid="{14BD36DC-85C6-43A8-A9BC-365D14D10DA3}"/>
    <cellStyle name="Normal 4 2 2 3 2 6 3" xfId="5960" xr:uid="{00000000-0005-0000-0000-00003B120000}"/>
    <cellStyle name="Normal 4 2 2 3 2 6 3 2" xfId="14389" xr:uid="{6C90EF70-B424-479D-9F57-6463D42CEF58}"/>
    <cellStyle name="Normal 4 2 2 3 2 6 3 3" xfId="22817" xr:uid="{D518950A-687B-4B5F-BDE8-814D0D430F89}"/>
    <cellStyle name="Normal 4 2 2 3 2 6 4" xfId="10171" xr:uid="{41397B77-3377-421C-BD47-5D71CAD43583}"/>
    <cellStyle name="Normal 4 2 2 3 2 6 5" xfId="18600" xr:uid="{AAC4931B-D3DB-4CF9-AA1F-BF71C5975A04}"/>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7" xr:uid="{B8507B1A-0149-459D-9377-9EB24381ADC7}"/>
    <cellStyle name="Normal 4 2 2 3 2 7 2 2 3" xfId="25375" xr:uid="{B188C61A-FCFC-40D1-856E-5D7B53F15A8C}"/>
    <cellStyle name="Normal 4 2 2 3 2 7 2 3" xfId="12729" xr:uid="{7C074989-C9FE-428F-BA13-2ED120A7472D}"/>
    <cellStyle name="Normal 4 2 2 3 2 7 2 4" xfId="21158" xr:uid="{0419F4EC-D329-4BED-9B55-986217591B88}"/>
    <cellStyle name="Normal 4 2 2 3 2 7 3" xfId="6373" xr:uid="{00000000-0005-0000-0000-00003F120000}"/>
    <cellStyle name="Normal 4 2 2 3 2 7 3 2" xfId="14802" xr:uid="{7389A357-0617-4237-A3F3-C4487EA45A8C}"/>
    <cellStyle name="Normal 4 2 2 3 2 7 3 3" xfId="23230" xr:uid="{8C18BED6-C665-479E-9E84-29B86612FC98}"/>
    <cellStyle name="Normal 4 2 2 3 2 7 4" xfId="10584" xr:uid="{2780377E-02DC-4529-A49C-C5877B63DFA1}"/>
    <cellStyle name="Normal 4 2 2 3 2 7 5" xfId="19013" xr:uid="{9F609035-DC28-405B-8642-06EA6293B1B6}"/>
    <cellStyle name="Normal 4 2 2 3 2 8" xfId="2501" xr:uid="{00000000-0005-0000-0000-000040120000}"/>
    <cellStyle name="Normal 4 2 2 3 2 8 2" xfId="6786" xr:uid="{00000000-0005-0000-0000-000041120000}"/>
    <cellStyle name="Normal 4 2 2 3 2 8 2 2" xfId="15215" xr:uid="{5C03C238-D94C-4CF9-B0F1-54088E6BD80C}"/>
    <cellStyle name="Normal 4 2 2 3 2 8 2 3" xfId="23643" xr:uid="{00191203-AF85-4175-88F6-FA1A447FA38D}"/>
    <cellStyle name="Normal 4 2 2 3 2 8 3" xfId="10997" xr:uid="{2F67C09B-E18B-4568-BBCF-C3EE09F38403}"/>
    <cellStyle name="Normal 4 2 2 3 2 8 4" xfId="19426" xr:uid="{3112B357-6787-4533-8067-8DC450497022}"/>
    <cellStyle name="Normal 4 2 2 3 2 9" xfId="4721" xr:uid="{00000000-0005-0000-0000-000042120000}"/>
    <cellStyle name="Normal 4 2 2 3 2 9 2" xfId="13150" xr:uid="{6E815E05-9650-45C2-BBF8-CA39FCACA11E}"/>
    <cellStyle name="Normal 4 2 2 3 2 9 3" xfId="21578" xr:uid="{FF1D1473-1102-4F0E-911F-D38DEAA59E41}"/>
    <cellStyle name="Normal 4 2 2 3 3" xfId="344" xr:uid="{00000000-0005-0000-0000-000043120000}"/>
    <cellStyle name="Normal 4 2 2 3 3 10" xfId="17365" xr:uid="{65978CA7-6836-4E10-A78D-0770CDFE86FC}"/>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13" xr:uid="{67F6835B-7BAF-47F5-ADC4-60A9B9F8B79C}"/>
    <cellStyle name="Normal 4 2 2 3 3 2 2 2 2 3" xfId="24141" xr:uid="{5CD8EBCE-B4F2-49A5-A8D6-550A6602EBB2}"/>
    <cellStyle name="Normal 4 2 2 3 3 2 2 2 3" xfId="11495" xr:uid="{700A06EF-FD1A-435D-A7C8-AC30D52F5ABE}"/>
    <cellStyle name="Normal 4 2 2 3 3 2 2 2 4" xfId="19924" xr:uid="{41941EB6-934B-463A-BEAE-23DB4614CC59}"/>
    <cellStyle name="Normal 4 2 2 3 3 2 2 3" xfId="5139" xr:uid="{00000000-0005-0000-0000-000048120000}"/>
    <cellStyle name="Normal 4 2 2 3 3 2 2 3 2" xfId="13568" xr:uid="{00AC1A77-29A1-4835-BDDA-1E64F09FC19D}"/>
    <cellStyle name="Normal 4 2 2 3 3 2 2 3 3" xfId="21996" xr:uid="{F1ACC9BA-E145-481B-AEF4-A2B3AFD2070B}"/>
    <cellStyle name="Normal 4 2 2 3 3 2 2 4" xfId="9350" xr:uid="{30AD09EC-2240-4287-8D9B-BC72956AC147}"/>
    <cellStyle name="Normal 4 2 2 3 3 2 2 5" xfId="17779" xr:uid="{9FE93FBF-CDC0-40C9-8B34-510D8B6A72AA}"/>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26" xr:uid="{DAC478E8-FE1D-47F1-B34E-7611AD999BFF}"/>
    <cellStyle name="Normal 4 2 2 3 3 2 3 2 2 3" xfId="24554" xr:uid="{326072B1-5EF8-42EE-B32C-B489AF3EFE30}"/>
    <cellStyle name="Normal 4 2 2 3 3 2 3 2 3" xfId="11908" xr:uid="{6EC4A705-D57F-4FB3-A574-CE03B214F8FF}"/>
    <cellStyle name="Normal 4 2 2 3 3 2 3 2 4" xfId="20337" xr:uid="{5485BA40-D6BD-4FE5-9BAA-1C9388BC8A1D}"/>
    <cellStyle name="Normal 4 2 2 3 3 2 3 3" xfId="5552" xr:uid="{00000000-0005-0000-0000-00004C120000}"/>
    <cellStyle name="Normal 4 2 2 3 3 2 3 3 2" xfId="13981" xr:uid="{1E86567B-3F85-415A-B3E3-2523DFA9C466}"/>
    <cellStyle name="Normal 4 2 2 3 3 2 3 3 3" xfId="22409" xr:uid="{A86B865F-C069-43DA-944A-BCE105A0C9AA}"/>
    <cellStyle name="Normal 4 2 2 3 3 2 3 4" xfId="9763" xr:uid="{D062817E-7345-4BDE-97F2-051E8E8F2376}"/>
    <cellStyle name="Normal 4 2 2 3 3 2 3 5" xfId="18192" xr:uid="{597E75DF-F12B-49BA-80B8-6FA438FAFDF5}"/>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9" xr:uid="{CAFC0632-2A6D-45FB-B9FE-9871001EBAD6}"/>
    <cellStyle name="Normal 4 2 2 3 3 2 4 2 2 3" xfId="24967" xr:uid="{35E10258-BEC9-4E13-AE8D-AE2F55E924FE}"/>
    <cellStyle name="Normal 4 2 2 3 3 2 4 2 3" xfId="12321" xr:uid="{91C2EFFE-C61F-4956-890D-B3BE4FCE1FB9}"/>
    <cellStyle name="Normal 4 2 2 3 3 2 4 2 4" xfId="20750" xr:uid="{BF7E96CB-BBDF-4C2C-8724-68C88677B426}"/>
    <cellStyle name="Normal 4 2 2 3 3 2 4 3" xfId="5965" xr:uid="{00000000-0005-0000-0000-000050120000}"/>
    <cellStyle name="Normal 4 2 2 3 3 2 4 3 2" xfId="14394" xr:uid="{5CC1988B-41B0-4012-A7A4-CA89F3D363B2}"/>
    <cellStyle name="Normal 4 2 2 3 3 2 4 3 3" xfId="22822" xr:uid="{EF4D6F4C-A8EE-4CA7-8F0C-28EFFA029BEC}"/>
    <cellStyle name="Normal 4 2 2 3 3 2 4 4" xfId="10176" xr:uid="{B2088710-A0BC-4564-B80E-9F64F287D356}"/>
    <cellStyle name="Normal 4 2 2 3 3 2 4 5" xfId="18605" xr:uid="{B4B6DD64-473B-4ED5-8DDA-59962B7673E7}"/>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52" xr:uid="{05B0F7FF-CE71-4D58-911F-74D4867A9496}"/>
    <cellStyle name="Normal 4 2 2 3 3 2 5 2 2 3" xfId="25380" xr:uid="{8950C119-7C30-446B-A752-37E86E40F6C6}"/>
    <cellStyle name="Normal 4 2 2 3 3 2 5 2 3" xfId="12734" xr:uid="{8B840506-458B-4B60-94B3-C563ECCE1338}"/>
    <cellStyle name="Normal 4 2 2 3 3 2 5 2 4" xfId="21163" xr:uid="{96B5E70B-D381-47B0-9B8C-1E5E0D6F93CD}"/>
    <cellStyle name="Normal 4 2 2 3 3 2 5 3" xfId="6378" xr:uid="{00000000-0005-0000-0000-000054120000}"/>
    <cellStyle name="Normal 4 2 2 3 3 2 5 3 2" xfId="14807" xr:uid="{FCFB2D70-F4C1-483A-9C8B-54A49F07785F}"/>
    <cellStyle name="Normal 4 2 2 3 3 2 5 3 3" xfId="23235" xr:uid="{B84A42FC-AFD1-45C2-919F-A21933BD7B97}"/>
    <cellStyle name="Normal 4 2 2 3 3 2 5 4" xfId="10589" xr:uid="{B569D926-C55E-4174-9E23-D6BBC353CB84}"/>
    <cellStyle name="Normal 4 2 2 3 3 2 5 5" xfId="19018" xr:uid="{F3F682A3-C57A-4C36-A7A2-B63921CA5F7D}"/>
    <cellStyle name="Normal 4 2 2 3 3 2 6" xfId="2506" xr:uid="{00000000-0005-0000-0000-000055120000}"/>
    <cellStyle name="Normal 4 2 2 3 3 2 6 2" xfId="6791" xr:uid="{00000000-0005-0000-0000-000056120000}"/>
    <cellStyle name="Normal 4 2 2 3 3 2 6 2 2" xfId="15220" xr:uid="{1B7B16B2-D609-4FD1-9173-0BAD7D8B722C}"/>
    <cellStyle name="Normal 4 2 2 3 3 2 6 2 3" xfId="23648" xr:uid="{062EA3C7-B5DA-43EB-84F7-B2395FA1A92E}"/>
    <cellStyle name="Normal 4 2 2 3 3 2 6 3" xfId="11002" xr:uid="{BBFECC56-8DB0-408B-8872-D4F51702EF0E}"/>
    <cellStyle name="Normal 4 2 2 3 3 2 6 4" xfId="19431" xr:uid="{7B048262-DC50-426F-80BA-12C6EE177D58}"/>
    <cellStyle name="Normal 4 2 2 3 3 2 7" xfId="4726" xr:uid="{00000000-0005-0000-0000-000057120000}"/>
    <cellStyle name="Normal 4 2 2 3 3 2 7 2" xfId="13155" xr:uid="{E5BD3637-0E95-4171-971E-5852692202F9}"/>
    <cellStyle name="Normal 4 2 2 3 3 2 7 3" xfId="21583" xr:uid="{E500D89E-3514-4BF9-A4AD-96A7D20DD80A}"/>
    <cellStyle name="Normal 4 2 2 3 3 2 8" xfId="8937" xr:uid="{D9E882FB-5850-4EB0-91EB-8C2FB6D89224}"/>
    <cellStyle name="Normal 4 2 2 3 3 2 9" xfId="17366" xr:uid="{CB6F81F7-F3E2-4D4A-9562-FB4CE47557EA}"/>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12" xr:uid="{D690D74B-FE4B-432A-9B06-72F7E8F20668}"/>
    <cellStyle name="Normal 4 2 2 3 3 3 2 2 3" xfId="24140" xr:uid="{C5044A17-3126-4D29-AE8A-8C7D168AA9C2}"/>
    <cellStyle name="Normal 4 2 2 3 3 3 2 3" xfId="11494" xr:uid="{9BDE9976-105D-43A0-BC95-4B6F1A9E75CA}"/>
    <cellStyle name="Normal 4 2 2 3 3 3 2 4" xfId="19923" xr:uid="{887EDCA4-8019-487F-9542-3D23C36F9498}"/>
    <cellStyle name="Normal 4 2 2 3 3 3 3" xfId="5138" xr:uid="{00000000-0005-0000-0000-00005B120000}"/>
    <cellStyle name="Normal 4 2 2 3 3 3 3 2" xfId="13567" xr:uid="{10402BE5-AD05-4BA2-85E6-A2498C27950E}"/>
    <cellStyle name="Normal 4 2 2 3 3 3 3 3" xfId="21995" xr:uid="{8A9FB056-EA6C-4DDB-8065-564307EDBB6A}"/>
    <cellStyle name="Normal 4 2 2 3 3 3 4" xfId="9349" xr:uid="{0EE19ADA-14A4-41F6-A642-D372A8D73B54}"/>
    <cellStyle name="Normal 4 2 2 3 3 3 5" xfId="17778" xr:uid="{5C45A6F4-D466-4E9C-8DD7-8103FA9D9A6A}"/>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25" xr:uid="{F056F68A-7C75-49B4-91F0-E824E7FDE8A2}"/>
    <cellStyle name="Normal 4 2 2 3 3 4 2 2 3" xfId="24553" xr:uid="{DFC38C67-D7B7-4529-B61F-D08822502B9C}"/>
    <cellStyle name="Normal 4 2 2 3 3 4 2 3" xfId="11907" xr:uid="{ED22E4DB-890E-47A3-AB12-372C7AA00AED}"/>
    <cellStyle name="Normal 4 2 2 3 3 4 2 4" xfId="20336" xr:uid="{8B046311-2170-41C5-BB7F-06ED67E70C13}"/>
    <cellStyle name="Normal 4 2 2 3 3 4 3" xfId="5551" xr:uid="{00000000-0005-0000-0000-00005F120000}"/>
    <cellStyle name="Normal 4 2 2 3 3 4 3 2" xfId="13980" xr:uid="{9EF2CAC9-B02E-489E-B32D-5944F4D38B9D}"/>
    <cellStyle name="Normal 4 2 2 3 3 4 3 3" xfId="22408" xr:uid="{0E16E5E6-2DE6-4E39-8E77-54807934F8FE}"/>
    <cellStyle name="Normal 4 2 2 3 3 4 4" xfId="9762" xr:uid="{12C29C8E-8ABB-4979-8BF1-C43A5F9BF488}"/>
    <cellStyle name="Normal 4 2 2 3 3 4 5" xfId="18191" xr:uid="{E19F91DB-024C-4640-9230-BC549C4389E6}"/>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8" xr:uid="{3BBF4E6B-01AE-4B64-83C8-8937C430506D}"/>
    <cellStyle name="Normal 4 2 2 3 3 5 2 2 3" xfId="24966" xr:uid="{098407B9-D341-498F-818D-D534CD88FA12}"/>
    <cellStyle name="Normal 4 2 2 3 3 5 2 3" xfId="12320" xr:uid="{F36286EE-38CB-4E98-A3BA-650C15648F2F}"/>
    <cellStyle name="Normal 4 2 2 3 3 5 2 4" xfId="20749" xr:uid="{0093EF65-9E2C-4910-A12F-A5C9D57E2B8F}"/>
    <cellStyle name="Normal 4 2 2 3 3 5 3" xfId="5964" xr:uid="{00000000-0005-0000-0000-000063120000}"/>
    <cellStyle name="Normal 4 2 2 3 3 5 3 2" xfId="14393" xr:uid="{64C35A33-7268-478D-8319-DA816BE34EAE}"/>
    <cellStyle name="Normal 4 2 2 3 3 5 3 3" xfId="22821" xr:uid="{BAFFD9F9-FAA1-49EC-B6C2-F5C375CEDEF6}"/>
    <cellStyle name="Normal 4 2 2 3 3 5 4" xfId="10175" xr:uid="{4D84881C-772E-4882-A0A0-3DF4C0172055}"/>
    <cellStyle name="Normal 4 2 2 3 3 5 5" xfId="18604" xr:uid="{06F4E77F-CBB5-4838-AF8E-299C67985241}"/>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51" xr:uid="{49CDE3BE-2FF1-48EC-BABB-8C0BE48FD2D6}"/>
    <cellStyle name="Normal 4 2 2 3 3 6 2 2 3" xfId="25379" xr:uid="{AA337A23-D5B7-4BE1-AC9A-21AE3E14D501}"/>
    <cellStyle name="Normal 4 2 2 3 3 6 2 3" xfId="12733" xr:uid="{0F667E43-42A3-4D0F-82B8-B67AE3394DC1}"/>
    <cellStyle name="Normal 4 2 2 3 3 6 2 4" xfId="21162" xr:uid="{4A38D47D-151A-4E6C-AAAC-933CD8FA410A}"/>
    <cellStyle name="Normal 4 2 2 3 3 6 3" xfId="6377" xr:uid="{00000000-0005-0000-0000-000067120000}"/>
    <cellStyle name="Normal 4 2 2 3 3 6 3 2" xfId="14806" xr:uid="{3FD33A56-DFDC-4E57-B240-5DCA8679AD96}"/>
    <cellStyle name="Normal 4 2 2 3 3 6 3 3" xfId="23234" xr:uid="{F12CDE9D-002E-4AA4-9322-727F71EB3A89}"/>
    <cellStyle name="Normal 4 2 2 3 3 6 4" xfId="10588" xr:uid="{E00C5883-C991-47D3-94F9-0ED8DC49A99A}"/>
    <cellStyle name="Normal 4 2 2 3 3 6 5" xfId="19017" xr:uid="{9B371FFB-31BF-4D24-B558-7C541BC0F824}"/>
    <cellStyle name="Normal 4 2 2 3 3 7" xfId="2505" xr:uid="{00000000-0005-0000-0000-000068120000}"/>
    <cellStyle name="Normal 4 2 2 3 3 7 2" xfId="6790" xr:uid="{00000000-0005-0000-0000-000069120000}"/>
    <cellStyle name="Normal 4 2 2 3 3 7 2 2" xfId="15219" xr:uid="{1C8426A4-753D-40D8-929C-5CC600DBF119}"/>
    <cellStyle name="Normal 4 2 2 3 3 7 2 3" xfId="23647" xr:uid="{CD6C4AC7-95AA-4649-BB96-E3D14D0B0B24}"/>
    <cellStyle name="Normal 4 2 2 3 3 7 3" xfId="11001" xr:uid="{D6557B3E-DD63-469A-8947-A389CB319583}"/>
    <cellStyle name="Normal 4 2 2 3 3 7 4" xfId="19430" xr:uid="{5FF16655-E2DD-4F58-B01C-74AF228CE123}"/>
    <cellStyle name="Normal 4 2 2 3 3 8" xfId="4725" xr:uid="{00000000-0005-0000-0000-00006A120000}"/>
    <cellStyle name="Normal 4 2 2 3 3 8 2" xfId="13154" xr:uid="{B7B901CA-7679-44BC-B020-EEB9F07AF855}"/>
    <cellStyle name="Normal 4 2 2 3 3 8 3" xfId="21582" xr:uid="{1DDA634C-6E0B-4E39-BBCF-BF6BB2F318EC}"/>
    <cellStyle name="Normal 4 2 2 3 3 9" xfId="8936" xr:uid="{AA86F5A7-F09F-40A8-A446-3BC0AE10CACF}"/>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14" xr:uid="{A2CEC7DB-11F7-4529-B28A-6E0A5485328E}"/>
    <cellStyle name="Normal 4 2 2 3 4 2 2 2 3" xfId="24142" xr:uid="{B0132F43-9ADB-48C0-9B9E-B4CBEB435F81}"/>
    <cellStyle name="Normal 4 2 2 3 4 2 2 3" xfId="11496" xr:uid="{669A2B6A-E830-488B-A364-2980CACA395D}"/>
    <cellStyle name="Normal 4 2 2 3 4 2 2 4" xfId="19925" xr:uid="{9BE01CDD-4EA5-4A4B-8FD7-382D1D9BC52C}"/>
    <cellStyle name="Normal 4 2 2 3 4 2 3" xfId="5140" xr:uid="{00000000-0005-0000-0000-00006F120000}"/>
    <cellStyle name="Normal 4 2 2 3 4 2 3 2" xfId="13569" xr:uid="{CA9DB8A2-8DBA-4833-A991-548BCFA12657}"/>
    <cellStyle name="Normal 4 2 2 3 4 2 3 3" xfId="21997" xr:uid="{E312A1E6-C545-49C6-B01A-535219099B8F}"/>
    <cellStyle name="Normal 4 2 2 3 4 2 4" xfId="9351" xr:uid="{AAC1C3BC-4843-4BC8-AA40-4854CDB7C3D1}"/>
    <cellStyle name="Normal 4 2 2 3 4 2 5" xfId="17780" xr:uid="{96265B73-A8D0-4216-849B-391C630D3974}"/>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7" xr:uid="{EDF5ED92-0A2A-48F9-9993-A48FFEC2A44E}"/>
    <cellStyle name="Normal 4 2 2 3 4 3 2 2 3" xfId="24555" xr:uid="{97F1C70C-68FD-4B26-8F99-7399BC9DA7A6}"/>
    <cellStyle name="Normal 4 2 2 3 4 3 2 3" xfId="11909" xr:uid="{218D7925-D0CB-4ABF-A8FC-9209DD82244E}"/>
    <cellStyle name="Normal 4 2 2 3 4 3 2 4" xfId="20338" xr:uid="{FB5B38E8-8B41-4DCF-A336-A9D854AA97C4}"/>
    <cellStyle name="Normal 4 2 2 3 4 3 3" xfId="5553" xr:uid="{00000000-0005-0000-0000-000073120000}"/>
    <cellStyle name="Normal 4 2 2 3 4 3 3 2" xfId="13982" xr:uid="{B1357665-3953-46FE-AA77-E7EECBF68C7F}"/>
    <cellStyle name="Normal 4 2 2 3 4 3 3 3" xfId="22410" xr:uid="{D51549F3-8C2C-40A9-8240-D490D4D12D7C}"/>
    <cellStyle name="Normal 4 2 2 3 4 3 4" xfId="9764" xr:uid="{51301EF2-3876-4032-B9D9-10361F9FBA44}"/>
    <cellStyle name="Normal 4 2 2 3 4 3 5" xfId="18193" xr:uid="{8F5BC011-13EB-421D-BB1C-8AA2350DDC3C}"/>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40" xr:uid="{10BD1136-E839-4C8E-AA15-19F14DC106F1}"/>
    <cellStyle name="Normal 4 2 2 3 4 4 2 2 3" xfId="24968" xr:uid="{92DDA98E-0437-40A6-B689-F3CE0AC0FB45}"/>
    <cellStyle name="Normal 4 2 2 3 4 4 2 3" xfId="12322" xr:uid="{4A6D3DA1-3225-4787-868A-0F6DB6F3716C}"/>
    <cellStyle name="Normal 4 2 2 3 4 4 2 4" xfId="20751" xr:uid="{AAECA76E-9077-4678-B9B7-900C581CC079}"/>
    <cellStyle name="Normal 4 2 2 3 4 4 3" xfId="5966" xr:uid="{00000000-0005-0000-0000-000077120000}"/>
    <cellStyle name="Normal 4 2 2 3 4 4 3 2" xfId="14395" xr:uid="{21DDE4A3-D1F6-43C8-B53F-51DD0510755B}"/>
    <cellStyle name="Normal 4 2 2 3 4 4 3 3" xfId="22823" xr:uid="{B846355D-C072-42C2-8F8E-20F8D551D240}"/>
    <cellStyle name="Normal 4 2 2 3 4 4 4" xfId="10177" xr:uid="{92AF7074-AA80-4533-99AF-791CCE54FA02}"/>
    <cellStyle name="Normal 4 2 2 3 4 4 5" xfId="18606" xr:uid="{56C8E631-D3A8-435F-985D-8A159E3223D3}"/>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53" xr:uid="{672AD75A-BF0E-4377-8F4C-CAA93297AACA}"/>
    <cellStyle name="Normal 4 2 2 3 4 5 2 2 3" xfId="25381" xr:uid="{306488C2-D843-48D4-95BE-041D0B6DDD2E}"/>
    <cellStyle name="Normal 4 2 2 3 4 5 2 3" xfId="12735" xr:uid="{7E9442D5-BDB5-4306-AEA2-D133DF2D551C}"/>
    <cellStyle name="Normal 4 2 2 3 4 5 2 4" xfId="21164" xr:uid="{ED92AD90-461F-424D-AC10-5525F91CE68F}"/>
    <cellStyle name="Normal 4 2 2 3 4 5 3" xfId="6379" xr:uid="{00000000-0005-0000-0000-00007B120000}"/>
    <cellStyle name="Normal 4 2 2 3 4 5 3 2" xfId="14808" xr:uid="{3B960886-90F5-422E-9D8E-10AAEEF732E3}"/>
    <cellStyle name="Normal 4 2 2 3 4 5 3 3" xfId="23236" xr:uid="{C501CCD3-779C-4A3C-BE96-CE0FECC42C80}"/>
    <cellStyle name="Normal 4 2 2 3 4 5 4" xfId="10590" xr:uid="{47EBA2FF-95BA-4D87-8DBC-2A2EDC59C45E}"/>
    <cellStyle name="Normal 4 2 2 3 4 5 5" xfId="19019" xr:uid="{2813AA2C-AE7F-4DA4-BAF2-3AB7F05F2A60}"/>
    <cellStyle name="Normal 4 2 2 3 4 6" xfId="2507" xr:uid="{00000000-0005-0000-0000-00007C120000}"/>
    <cellStyle name="Normal 4 2 2 3 4 6 2" xfId="6792" xr:uid="{00000000-0005-0000-0000-00007D120000}"/>
    <cellStyle name="Normal 4 2 2 3 4 6 2 2" xfId="15221" xr:uid="{87A98950-2976-4B05-B36B-F25FE19D6F46}"/>
    <cellStyle name="Normal 4 2 2 3 4 6 2 3" xfId="23649" xr:uid="{AC75B2AA-98E1-4C01-8054-889CD7EFEF73}"/>
    <cellStyle name="Normal 4 2 2 3 4 6 3" xfId="11003" xr:uid="{E731258E-F403-47E2-B322-BF210413F3A0}"/>
    <cellStyle name="Normal 4 2 2 3 4 6 4" xfId="19432" xr:uid="{A71932D3-B272-44CE-A46B-F4F77F9CE1ED}"/>
    <cellStyle name="Normal 4 2 2 3 4 7" xfId="4727" xr:uid="{00000000-0005-0000-0000-00007E120000}"/>
    <cellStyle name="Normal 4 2 2 3 4 7 2" xfId="13156" xr:uid="{D61CA761-6848-48F1-8C12-5C5E59DFE931}"/>
    <cellStyle name="Normal 4 2 2 3 4 7 3" xfId="21584" xr:uid="{BE268B10-5DDB-42B0-9FAA-61F08192A5C9}"/>
    <cellStyle name="Normal 4 2 2 3 4 8" xfId="8938" xr:uid="{B7939609-037E-42CF-87BC-EAFB984C7B1C}"/>
    <cellStyle name="Normal 4 2 2 3 4 9" xfId="17367" xr:uid="{4452A8EA-A644-43DA-9680-6198E6EFB385}"/>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7" xr:uid="{06DEFB90-BC33-4376-ABAF-5620443FAE5B}"/>
    <cellStyle name="Normal 4 2 2 3 5 2 2 3" xfId="24135" xr:uid="{D3FECA82-50E2-4228-A92A-D34A9BEEBB0E}"/>
    <cellStyle name="Normal 4 2 2 3 5 2 3" xfId="11489" xr:uid="{0640D157-4C57-4D2A-A18B-0765E752B9C6}"/>
    <cellStyle name="Normal 4 2 2 3 5 2 4" xfId="19918" xr:uid="{E447A666-1249-4C3A-B4CD-EC4FE1B9A9F7}"/>
    <cellStyle name="Normal 4 2 2 3 5 3" xfId="5133" xr:uid="{00000000-0005-0000-0000-000082120000}"/>
    <cellStyle name="Normal 4 2 2 3 5 3 2" xfId="13562" xr:uid="{B56D6970-9E6E-46DE-9A4A-AA8F28823713}"/>
    <cellStyle name="Normal 4 2 2 3 5 3 3" xfId="21990" xr:uid="{090B94A5-ED99-4EA9-9377-5719B4731ADE}"/>
    <cellStyle name="Normal 4 2 2 3 5 4" xfId="9344" xr:uid="{51D3616A-F381-439E-9B9A-DD8388F13B25}"/>
    <cellStyle name="Normal 4 2 2 3 5 5" xfId="17773" xr:uid="{654282D1-95CE-4A91-8D34-81CC982E18F1}"/>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20" xr:uid="{4605DDA1-792B-44F3-B3B2-7594C4641E18}"/>
    <cellStyle name="Normal 4 2 2 3 6 2 2 3" xfId="24548" xr:uid="{A772F858-8B8E-4578-BE67-DA776E5B2FEE}"/>
    <cellStyle name="Normal 4 2 2 3 6 2 3" xfId="11902" xr:uid="{388C26ED-0039-4816-B890-497DB84CA66A}"/>
    <cellStyle name="Normal 4 2 2 3 6 2 4" xfId="20331" xr:uid="{B48DC691-6EE5-4600-9E8A-D6CB6F40C31E}"/>
    <cellStyle name="Normal 4 2 2 3 6 3" xfId="5546" xr:uid="{00000000-0005-0000-0000-000086120000}"/>
    <cellStyle name="Normal 4 2 2 3 6 3 2" xfId="13975" xr:uid="{919B5357-26CF-4836-96B4-37218356D580}"/>
    <cellStyle name="Normal 4 2 2 3 6 3 3" xfId="22403" xr:uid="{64F4003F-DDF8-4C1F-99E7-D86916C29303}"/>
    <cellStyle name="Normal 4 2 2 3 6 4" xfId="9757" xr:uid="{B31BCEB3-38F5-4DD8-9579-71DCE5E91849}"/>
    <cellStyle name="Normal 4 2 2 3 6 5" xfId="18186" xr:uid="{E0E107FF-622C-41DC-BE8E-E5F1E97AAE2D}"/>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33" xr:uid="{56E4F21B-8CA8-4CE2-9934-172720CD2520}"/>
    <cellStyle name="Normal 4 2 2 3 7 2 2 3" xfId="24961" xr:uid="{A2451934-837E-4C92-A71D-A78B4A10CA43}"/>
    <cellStyle name="Normal 4 2 2 3 7 2 3" xfId="12315" xr:uid="{8D514326-8DC8-4E84-AF48-211AE806F0EF}"/>
    <cellStyle name="Normal 4 2 2 3 7 2 4" xfId="20744" xr:uid="{399CA616-FC3E-4066-898B-EA59AAB21056}"/>
    <cellStyle name="Normal 4 2 2 3 7 3" xfId="5959" xr:uid="{00000000-0005-0000-0000-00008A120000}"/>
    <cellStyle name="Normal 4 2 2 3 7 3 2" xfId="14388" xr:uid="{848E5D73-4A02-47D2-B779-73D08305719D}"/>
    <cellStyle name="Normal 4 2 2 3 7 3 3" xfId="22816" xr:uid="{417743BA-D2CB-40B3-9FB2-0B5A18DA6C24}"/>
    <cellStyle name="Normal 4 2 2 3 7 4" xfId="10170" xr:uid="{C77FE145-BC8B-4436-9214-3FE98CE15751}"/>
    <cellStyle name="Normal 4 2 2 3 7 5" xfId="18599" xr:uid="{A5072478-7642-45F0-9771-E0B7E11569A3}"/>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46" xr:uid="{0123ACFD-D185-48BA-A93E-B48B88108E8A}"/>
    <cellStyle name="Normal 4 2 2 3 8 2 2 3" xfId="25374" xr:uid="{FFA039EC-CD4C-42C8-B267-820D533CA59E}"/>
    <cellStyle name="Normal 4 2 2 3 8 2 3" xfId="12728" xr:uid="{4E9DEDE3-94FF-4221-A0BA-610DBDA1F618}"/>
    <cellStyle name="Normal 4 2 2 3 8 2 4" xfId="21157" xr:uid="{1B724E7E-8285-4032-9AA4-E6BCCA901760}"/>
    <cellStyle name="Normal 4 2 2 3 8 3" xfId="6372" xr:uid="{00000000-0005-0000-0000-00008E120000}"/>
    <cellStyle name="Normal 4 2 2 3 8 3 2" xfId="14801" xr:uid="{12F3DCBC-75D8-4B34-BB86-51352EF5EF0A}"/>
    <cellStyle name="Normal 4 2 2 3 8 3 3" xfId="23229" xr:uid="{B5954896-BB26-451E-935C-0A7EEFF6B924}"/>
    <cellStyle name="Normal 4 2 2 3 8 4" xfId="10583" xr:uid="{D519D7C5-F6FC-4630-B1AA-0E73E3833E29}"/>
    <cellStyle name="Normal 4 2 2 3 8 5" xfId="19012" xr:uid="{F30E99F8-4671-42CF-8F22-9C8B7E47FE7C}"/>
    <cellStyle name="Normal 4 2 2 3 9" xfId="2500" xr:uid="{00000000-0005-0000-0000-00008F120000}"/>
    <cellStyle name="Normal 4 2 2 3 9 2" xfId="6785" xr:uid="{00000000-0005-0000-0000-000090120000}"/>
    <cellStyle name="Normal 4 2 2 3 9 2 2" xfId="15214" xr:uid="{2CF1531C-7F32-4FD5-8BEC-589B1C6D39BA}"/>
    <cellStyle name="Normal 4 2 2 3 9 2 3" xfId="23642" xr:uid="{9C3DB095-5312-4CDA-B49A-E8219C6B47FE}"/>
    <cellStyle name="Normal 4 2 2 3 9 3" xfId="10996" xr:uid="{92B7920A-0529-4E19-81EB-FC4F9B0005C9}"/>
    <cellStyle name="Normal 4 2 2 3 9 4" xfId="19425" xr:uid="{89817D72-552F-4464-B8DB-041798595F5A}"/>
    <cellStyle name="Normal 4 2 2 4" xfId="347" xr:uid="{00000000-0005-0000-0000-000091120000}"/>
    <cellStyle name="Normal 4 2 2 4 10" xfId="8939" xr:uid="{CCEEE05E-54A5-4C8F-B88C-8DFFCF59E560}"/>
    <cellStyle name="Normal 4 2 2 4 11" xfId="17368" xr:uid="{EEF0D30B-6418-48D8-9177-2956F32D2C3A}"/>
    <cellStyle name="Normal 4 2 2 4 2" xfId="348" xr:uid="{00000000-0005-0000-0000-000092120000}"/>
    <cellStyle name="Normal 4 2 2 4 2 10" xfId="17369" xr:uid="{6F526A6F-B792-453A-BAD4-0481A31F6B08}"/>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7" xr:uid="{EFC72CDB-AD18-40F5-8759-D25BE55A2282}"/>
    <cellStyle name="Normal 4 2 2 4 2 2 2 2 2 3" xfId="24145" xr:uid="{B43C4CE2-33B6-498B-BD04-8E7BF934CB6C}"/>
    <cellStyle name="Normal 4 2 2 4 2 2 2 2 3" xfId="11499" xr:uid="{43D9CFC1-926C-4248-9760-6DD195D548E2}"/>
    <cellStyle name="Normal 4 2 2 4 2 2 2 2 4" xfId="19928" xr:uid="{05A86A0E-84E6-4D95-8075-13727231B20C}"/>
    <cellStyle name="Normal 4 2 2 4 2 2 2 3" xfId="5143" xr:uid="{00000000-0005-0000-0000-000097120000}"/>
    <cellStyle name="Normal 4 2 2 4 2 2 2 3 2" xfId="13572" xr:uid="{C0463A03-0218-4170-9008-9E1CE472F370}"/>
    <cellStyle name="Normal 4 2 2 4 2 2 2 3 3" xfId="22000" xr:uid="{A66ADB31-8F15-4824-B4B1-EA84D4AC6F92}"/>
    <cellStyle name="Normal 4 2 2 4 2 2 2 4" xfId="9354" xr:uid="{95E229F3-F300-4D28-AB83-1A5BDDACF08F}"/>
    <cellStyle name="Normal 4 2 2 4 2 2 2 5" xfId="17783" xr:uid="{B78EB0E1-7AB5-4AC7-9BD8-16E7C452E117}"/>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30" xr:uid="{180039F0-07FC-472D-9425-CCE1D6D3D300}"/>
    <cellStyle name="Normal 4 2 2 4 2 2 3 2 2 3" xfId="24558" xr:uid="{777F256E-B272-44A3-81EA-27F53278D359}"/>
    <cellStyle name="Normal 4 2 2 4 2 2 3 2 3" xfId="11912" xr:uid="{8976701C-7585-4E1D-97A0-B44A0C50BDA1}"/>
    <cellStyle name="Normal 4 2 2 4 2 2 3 2 4" xfId="20341" xr:uid="{0BE533CA-05DD-4BCC-A492-1DF40EC24A19}"/>
    <cellStyle name="Normal 4 2 2 4 2 2 3 3" xfId="5556" xr:uid="{00000000-0005-0000-0000-00009B120000}"/>
    <cellStyle name="Normal 4 2 2 4 2 2 3 3 2" xfId="13985" xr:uid="{14D14CA4-62E0-42AA-B213-1C16BE8EDD43}"/>
    <cellStyle name="Normal 4 2 2 4 2 2 3 3 3" xfId="22413" xr:uid="{595E8965-1F7F-4861-A8F3-1657D75E099A}"/>
    <cellStyle name="Normal 4 2 2 4 2 2 3 4" xfId="9767" xr:uid="{A8107D53-67A6-4792-94B9-F4976AE1AD00}"/>
    <cellStyle name="Normal 4 2 2 4 2 2 3 5" xfId="18196" xr:uid="{2B2D79C0-49DD-47C4-82CE-3630C7030D59}"/>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43" xr:uid="{6A16CB35-5D1A-4177-A034-3B166C5B7EF4}"/>
    <cellStyle name="Normal 4 2 2 4 2 2 4 2 2 3" xfId="24971" xr:uid="{9A7A324D-F7AC-4DE2-92F5-D323F3772683}"/>
    <cellStyle name="Normal 4 2 2 4 2 2 4 2 3" xfId="12325" xr:uid="{4C4A77E6-3F1D-4FCA-9E24-4F11E8AB18A6}"/>
    <cellStyle name="Normal 4 2 2 4 2 2 4 2 4" xfId="20754" xr:uid="{0D8BF28F-EFC5-43C2-982D-9AC112AF2E1E}"/>
    <cellStyle name="Normal 4 2 2 4 2 2 4 3" xfId="5969" xr:uid="{00000000-0005-0000-0000-00009F120000}"/>
    <cellStyle name="Normal 4 2 2 4 2 2 4 3 2" xfId="14398" xr:uid="{C3447EC3-D958-49F1-9EBC-80F3A26C6964}"/>
    <cellStyle name="Normal 4 2 2 4 2 2 4 3 3" xfId="22826" xr:uid="{3B8D091D-27A8-4FD0-A2A1-EEF4C6378BF5}"/>
    <cellStyle name="Normal 4 2 2 4 2 2 4 4" xfId="10180" xr:uid="{17D5619F-C438-49B3-BC82-B67ED7824F78}"/>
    <cellStyle name="Normal 4 2 2 4 2 2 4 5" xfId="18609" xr:uid="{EED71BB1-7E4A-414E-B58C-1733D75C4A3B}"/>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56" xr:uid="{3A5537C8-F964-470E-831F-117DF02A0A20}"/>
    <cellStyle name="Normal 4 2 2 4 2 2 5 2 2 3" xfId="25384" xr:uid="{79C66E29-35FE-4234-90FD-42A545CB7512}"/>
    <cellStyle name="Normal 4 2 2 4 2 2 5 2 3" xfId="12738" xr:uid="{79343419-7995-475F-BC2B-C1AE9D17082E}"/>
    <cellStyle name="Normal 4 2 2 4 2 2 5 2 4" xfId="21167" xr:uid="{12A874AF-6A5F-42CA-9EBA-452D275D989C}"/>
    <cellStyle name="Normal 4 2 2 4 2 2 5 3" xfId="6382" xr:uid="{00000000-0005-0000-0000-0000A3120000}"/>
    <cellStyle name="Normal 4 2 2 4 2 2 5 3 2" xfId="14811" xr:uid="{C955D077-23D9-4FE1-AF4D-6BAAA8E31539}"/>
    <cellStyle name="Normal 4 2 2 4 2 2 5 3 3" xfId="23239" xr:uid="{2F3EBA31-BE87-4973-B68E-0FF5A953C1A1}"/>
    <cellStyle name="Normal 4 2 2 4 2 2 5 4" xfId="10593" xr:uid="{D6DA3C11-A07A-4D22-B7BE-BF645EF7C23C}"/>
    <cellStyle name="Normal 4 2 2 4 2 2 5 5" xfId="19022" xr:uid="{BE4491B5-8D58-4AC0-970D-6DABBB13D9E8}"/>
    <cellStyle name="Normal 4 2 2 4 2 2 6" xfId="2510" xr:uid="{00000000-0005-0000-0000-0000A4120000}"/>
    <cellStyle name="Normal 4 2 2 4 2 2 6 2" xfId="6795" xr:uid="{00000000-0005-0000-0000-0000A5120000}"/>
    <cellStyle name="Normal 4 2 2 4 2 2 6 2 2" xfId="15224" xr:uid="{28AE6F34-584C-4938-9442-0775CAC0DA54}"/>
    <cellStyle name="Normal 4 2 2 4 2 2 6 2 3" xfId="23652" xr:uid="{201F394D-644D-4A7B-A527-7B1EF009FF71}"/>
    <cellStyle name="Normal 4 2 2 4 2 2 6 3" xfId="11006" xr:uid="{2A138B66-9E74-4B02-B264-A23EB9BFA0DD}"/>
    <cellStyle name="Normal 4 2 2 4 2 2 6 4" xfId="19435" xr:uid="{F73988CD-16C3-4D0D-84AA-B9E158FAA62C}"/>
    <cellStyle name="Normal 4 2 2 4 2 2 7" xfId="4730" xr:uid="{00000000-0005-0000-0000-0000A6120000}"/>
    <cellStyle name="Normal 4 2 2 4 2 2 7 2" xfId="13159" xr:uid="{CFB5E112-F71E-4FFA-BA5A-6AAA1C01D147}"/>
    <cellStyle name="Normal 4 2 2 4 2 2 7 3" xfId="21587" xr:uid="{944B89CD-E792-4E65-BC50-985E15BFBBBF}"/>
    <cellStyle name="Normal 4 2 2 4 2 2 8" xfId="8941" xr:uid="{CE554E10-5B93-41FF-B007-E063AFCDC8F5}"/>
    <cellStyle name="Normal 4 2 2 4 2 2 9" xfId="17370" xr:uid="{1FA51E77-A435-4F94-8BFC-D292F2CEB458}"/>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16" xr:uid="{64B0D9B2-7415-4858-A5BB-5F8F0620916E}"/>
    <cellStyle name="Normal 4 2 2 4 2 3 2 2 3" xfId="24144" xr:uid="{1E1113A2-4DFC-411C-8852-35074AF074DD}"/>
    <cellStyle name="Normal 4 2 2 4 2 3 2 3" xfId="11498" xr:uid="{0130BE14-8E6F-4C59-BF7B-31E23D71C53B}"/>
    <cellStyle name="Normal 4 2 2 4 2 3 2 4" xfId="19927" xr:uid="{A987BDE5-DDDF-48D3-85EF-2BC6D213B435}"/>
    <cellStyle name="Normal 4 2 2 4 2 3 3" xfId="5142" xr:uid="{00000000-0005-0000-0000-0000AA120000}"/>
    <cellStyle name="Normal 4 2 2 4 2 3 3 2" xfId="13571" xr:uid="{693FF2F6-8CA9-4165-8D82-EAA07E22342A}"/>
    <cellStyle name="Normal 4 2 2 4 2 3 3 3" xfId="21999" xr:uid="{85139DFB-EAC8-44CC-BCF0-D6654818B7E8}"/>
    <cellStyle name="Normal 4 2 2 4 2 3 4" xfId="9353" xr:uid="{0C77C287-7631-4450-B53A-A17BFC68913D}"/>
    <cellStyle name="Normal 4 2 2 4 2 3 5" xfId="17782" xr:uid="{E0A0E105-8146-4B44-8540-DF766E442924}"/>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9" xr:uid="{DE821AE0-46BF-4431-B198-552DEE70FBA2}"/>
    <cellStyle name="Normal 4 2 2 4 2 4 2 2 3" xfId="24557" xr:uid="{B0436D9A-1AEC-49BF-BD76-225EA8746E97}"/>
    <cellStyle name="Normal 4 2 2 4 2 4 2 3" xfId="11911" xr:uid="{69B3C559-CEEF-473B-8A83-479B845A1735}"/>
    <cellStyle name="Normal 4 2 2 4 2 4 2 4" xfId="20340" xr:uid="{938081D8-AB9A-4987-976E-A70CBE49456C}"/>
    <cellStyle name="Normal 4 2 2 4 2 4 3" xfId="5555" xr:uid="{00000000-0005-0000-0000-0000AE120000}"/>
    <cellStyle name="Normal 4 2 2 4 2 4 3 2" xfId="13984" xr:uid="{95C8BA81-1D35-4971-A092-20F6813303D4}"/>
    <cellStyle name="Normal 4 2 2 4 2 4 3 3" xfId="22412" xr:uid="{8A8E1F04-4E13-4A60-B2F3-C0DE11755EA2}"/>
    <cellStyle name="Normal 4 2 2 4 2 4 4" xfId="9766" xr:uid="{BC31B5E8-1D0B-498E-9E23-2265DE654BE9}"/>
    <cellStyle name="Normal 4 2 2 4 2 4 5" xfId="18195" xr:uid="{28421B48-21D4-40AC-B380-6819719E0332}"/>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42" xr:uid="{923CAE32-EC16-449E-BD30-81E76EF1BD1B}"/>
    <cellStyle name="Normal 4 2 2 4 2 5 2 2 3" xfId="24970" xr:uid="{A783142F-C824-4ADD-80A3-C7BB9929D629}"/>
    <cellStyle name="Normal 4 2 2 4 2 5 2 3" xfId="12324" xr:uid="{ACB769FF-461B-49D2-B914-AF86BF19C740}"/>
    <cellStyle name="Normal 4 2 2 4 2 5 2 4" xfId="20753" xr:uid="{21C424F2-2400-4CAD-AE7C-00A5BF9DB4BB}"/>
    <cellStyle name="Normal 4 2 2 4 2 5 3" xfId="5968" xr:uid="{00000000-0005-0000-0000-0000B2120000}"/>
    <cellStyle name="Normal 4 2 2 4 2 5 3 2" xfId="14397" xr:uid="{1FC725AC-8F2F-41D3-A0EC-7169930E3406}"/>
    <cellStyle name="Normal 4 2 2 4 2 5 3 3" xfId="22825" xr:uid="{70A9033E-F6DD-4621-A44C-6A0E070A26A4}"/>
    <cellStyle name="Normal 4 2 2 4 2 5 4" xfId="10179" xr:uid="{3F300A97-67CA-464C-BA46-65EB1C5BBEED}"/>
    <cellStyle name="Normal 4 2 2 4 2 5 5" xfId="18608" xr:uid="{1E62E730-D634-4815-8F4B-6A042903060B}"/>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55" xr:uid="{96382D0E-FD69-495A-B00D-545FE8324B18}"/>
    <cellStyle name="Normal 4 2 2 4 2 6 2 2 3" xfId="25383" xr:uid="{A4B6FAA2-CCC8-4A59-B7E2-2DF5B89C40FF}"/>
    <cellStyle name="Normal 4 2 2 4 2 6 2 3" xfId="12737" xr:uid="{707AB02E-68F1-498D-B6D9-AF1FAA383CD9}"/>
    <cellStyle name="Normal 4 2 2 4 2 6 2 4" xfId="21166" xr:uid="{8C42EE87-BA64-4A89-B4F2-2DC8B88AC157}"/>
    <cellStyle name="Normal 4 2 2 4 2 6 3" xfId="6381" xr:uid="{00000000-0005-0000-0000-0000B6120000}"/>
    <cellStyle name="Normal 4 2 2 4 2 6 3 2" xfId="14810" xr:uid="{741E1830-7155-4F1E-9F0A-8F5D26C15203}"/>
    <cellStyle name="Normal 4 2 2 4 2 6 3 3" xfId="23238" xr:uid="{265CD874-3F1D-4008-912F-6B85E5739C87}"/>
    <cellStyle name="Normal 4 2 2 4 2 6 4" xfId="10592" xr:uid="{47BB1F1D-2B52-41CE-BD46-C12D700CACB4}"/>
    <cellStyle name="Normal 4 2 2 4 2 6 5" xfId="19021" xr:uid="{0F04EAEC-9A5C-40D1-8D01-DEE94FF9DFAC}"/>
    <cellStyle name="Normal 4 2 2 4 2 7" xfId="2509" xr:uid="{00000000-0005-0000-0000-0000B7120000}"/>
    <cellStyle name="Normal 4 2 2 4 2 7 2" xfId="6794" xr:uid="{00000000-0005-0000-0000-0000B8120000}"/>
    <cellStyle name="Normal 4 2 2 4 2 7 2 2" xfId="15223" xr:uid="{EBAE165E-DA39-4612-B02C-EC8FC264DA4D}"/>
    <cellStyle name="Normal 4 2 2 4 2 7 2 3" xfId="23651" xr:uid="{9937D0C4-9CCF-45C2-B945-875EBC703703}"/>
    <cellStyle name="Normal 4 2 2 4 2 7 3" xfId="11005" xr:uid="{90B1B322-F01C-40FD-95D6-C982825CE6DF}"/>
    <cellStyle name="Normal 4 2 2 4 2 7 4" xfId="19434" xr:uid="{F46CFFB9-4D45-46A7-933A-14E746974A41}"/>
    <cellStyle name="Normal 4 2 2 4 2 8" xfId="4729" xr:uid="{00000000-0005-0000-0000-0000B9120000}"/>
    <cellStyle name="Normal 4 2 2 4 2 8 2" xfId="13158" xr:uid="{75AA7157-BCE5-467E-817C-F1C56C13C25B}"/>
    <cellStyle name="Normal 4 2 2 4 2 8 3" xfId="21586" xr:uid="{41134ABC-FB8F-47E2-BB41-4958DF7B6FE2}"/>
    <cellStyle name="Normal 4 2 2 4 2 9" xfId="8940" xr:uid="{AD1CCBD2-D848-4C14-A3E3-F3B22DF84872}"/>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8" xr:uid="{548EFBB6-13D7-42E4-A35B-6D329B9F1CD9}"/>
    <cellStyle name="Normal 4 2 2 4 3 2 2 2 3" xfId="24146" xr:uid="{36938E4C-66E8-4589-93CA-1D4202BE0D09}"/>
    <cellStyle name="Normal 4 2 2 4 3 2 2 3" xfId="11500" xr:uid="{40E83470-F17A-434F-BEA5-00A6CCC095A9}"/>
    <cellStyle name="Normal 4 2 2 4 3 2 2 4" xfId="19929" xr:uid="{535EFBB5-B3C0-42D7-920D-85A9B4567D58}"/>
    <cellStyle name="Normal 4 2 2 4 3 2 3" xfId="5144" xr:uid="{00000000-0005-0000-0000-0000BE120000}"/>
    <cellStyle name="Normal 4 2 2 4 3 2 3 2" xfId="13573" xr:uid="{66D0E84A-70A4-4EC2-A814-5AEA772E471A}"/>
    <cellStyle name="Normal 4 2 2 4 3 2 3 3" xfId="22001" xr:uid="{8AA38DF2-AAF3-4437-80F5-61B4366E46E7}"/>
    <cellStyle name="Normal 4 2 2 4 3 2 4" xfId="9355" xr:uid="{B8383D8C-8606-4305-9437-B10FA01AAA3B}"/>
    <cellStyle name="Normal 4 2 2 4 3 2 5" xfId="17784" xr:uid="{B52954C0-CB60-4DE1-9518-5F9066F272E6}"/>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31" xr:uid="{99382657-C76C-48C8-82A6-79FC000A5C0E}"/>
    <cellStyle name="Normal 4 2 2 4 3 3 2 2 3" xfId="24559" xr:uid="{725DF536-8755-4B83-A716-02C2BBF7B6C3}"/>
    <cellStyle name="Normal 4 2 2 4 3 3 2 3" xfId="11913" xr:uid="{7FCA1EE7-57D1-4737-870D-9F8BEFE4BFD2}"/>
    <cellStyle name="Normal 4 2 2 4 3 3 2 4" xfId="20342" xr:uid="{674B903D-4E1B-41F2-BDBA-46999DFEC11A}"/>
    <cellStyle name="Normal 4 2 2 4 3 3 3" xfId="5557" xr:uid="{00000000-0005-0000-0000-0000C2120000}"/>
    <cellStyle name="Normal 4 2 2 4 3 3 3 2" xfId="13986" xr:uid="{70475AD9-9C6A-4024-8A66-39ECC49192D1}"/>
    <cellStyle name="Normal 4 2 2 4 3 3 3 3" xfId="22414" xr:uid="{46C2E042-F738-4189-BBA5-7B4B4CE2E286}"/>
    <cellStyle name="Normal 4 2 2 4 3 3 4" xfId="9768" xr:uid="{2FE47999-49FD-4842-AB29-EB40BAC6B076}"/>
    <cellStyle name="Normal 4 2 2 4 3 3 5" xfId="18197" xr:uid="{977D9F14-5B91-4FAB-B988-EC62DA109C71}"/>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44" xr:uid="{88E780C6-A66D-4E80-B245-2BE30CD883DF}"/>
    <cellStyle name="Normal 4 2 2 4 3 4 2 2 3" xfId="24972" xr:uid="{15F9540D-EE98-46D2-B2A3-97FBDDC6F808}"/>
    <cellStyle name="Normal 4 2 2 4 3 4 2 3" xfId="12326" xr:uid="{EAEB77C3-258D-4AEB-8F37-FA007D8A26C0}"/>
    <cellStyle name="Normal 4 2 2 4 3 4 2 4" xfId="20755" xr:uid="{AC9520D0-DBF9-4C17-AB8C-736AB24DDBB1}"/>
    <cellStyle name="Normal 4 2 2 4 3 4 3" xfId="5970" xr:uid="{00000000-0005-0000-0000-0000C6120000}"/>
    <cellStyle name="Normal 4 2 2 4 3 4 3 2" xfId="14399" xr:uid="{BC6CDF6A-83D3-4826-BADD-6FE298022A61}"/>
    <cellStyle name="Normal 4 2 2 4 3 4 3 3" xfId="22827" xr:uid="{8928C821-CF35-4825-B3FD-C5E32E228F25}"/>
    <cellStyle name="Normal 4 2 2 4 3 4 4" xfId="10181" xr:uid="{3A149CA3-3605-4CF9-92C5-187468A4FC40}"/>
    <cellStyle name="Normal 4 2 2 4 3 4 5" xfId="18610" xr:uid="{A17607E1-9BB9-4655-A3C6-C6EB983600D7}"/>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7" xr:uid="{6C6C026F-0B95-495F-AAB0-1593BFC5EA4F}"/>
    <cellStyle name="Normal 4 2 2 4 3 5 2 2 3" xfId="25385" xr:uid="{76677497-602B-4937-B560-0DEC92970D2E}"/>
    <cellStyle name="Normal 4 2 2 4 3 5 2 3" xfId="12739" xr:uid="{9D68A7B5-CDC7-4D29-B01C-1A63EAAFD7CD}"/>
    <cellStyle name="Normal 4 2 2 4 3 5 2 4" xfId="21168" xr:uid="{0C79997C-A694-4D4C-A0BA-B43E1A43D896}"/>
    <cellStyle name="Normal 4 2 2 4 3 5 3" xfId="6383" xr:uid="{00000000-0005-0000-0000-0000CA120000}"/>
    <cellStyle name="Normal 4 2 2 4 3 5 3 2" xfId="14812" xr:uid="{06EDC4D4-D61E-45AC-9D4F-8576E63EB0B2}"/>
    <cellStyle name="Normal 4 2 2 4 3 5 3 3" xfId="23240" xr:uid="{D7EFA704-ADA9-4C6D-B07F-AC84AD578FB5}"/>
    <cellStyle name="Normal 4 2 2 4 3 5 4" xfId="10594" xr:uid="{26E1F387-40DA-4A04-BBBC-05C54AE43ABE}"/>
    <cellStyle name="Normal 4 2 2 4 3 5 5" xfId="19023" xr:uid="{276D21AA-4524-47B7-8F5D-3E75BD4861B6}"/>
    <cellStyle name="Normal 4 2 2 4 3 6" xfId="2511" xr:uid="{00000000-0005-0000-0000-0000CB120000}"/>
    <cellStyle name="Normal 4 2 2 4 3 6 2" xfId="6796" xr:uid="{00000000-0005-0000-0000-0000CC120000}"/>
    <cellStyle name="Normal 4 2 2 4 3 6 2 2" xfId="15225" xr:uid="{410CC839-1FFE-448A-86FC-7D8D352122D9}"/>
    <cellStyle name="Normal 4 2 2 4 3 6 2 3" xfId="23653" xr:uid="{07FD7C13-2A48-40E1-8B99-8BAEF6C38BA7}"/>
    <cellStyle name="Normal 4 2 2 4 3 6 3" xfId="11007" xr:uid="{85803CF5-B1F4-4359-A784-BB2ECAE50F5B}"/>
    <cellStyle name="Normal 4 2 2 4 3 6 4" xfId="19436" xr:uid="{E100851F-DE9C-40A0-A7F4-ABE97EA0A6CA}"/>
    <cellStyle name="Normal 4 2 2 4 3 7" xfId="4731" xr:uid="{00000000-0005-0000-0000-0000CD120000}"/>
    <cellStyle name="Normal 4 2 2 4 3 7 2" xfId="13160" xr:uid="{9EE26D8C-3F93-4F38-A08B-5F6167D22313}"/>
    <cellStyle name="Normal 4 2 2 4 3 7 3" xfId="21588" xr:uid="{7B305199-0CFE-42DB-BA48-63BA812DAB80}"/>
    <cellStyle name="Normal 4 2 2 4 3 8" xfId="8942" xr:uid="{0C17692D-0CA1-434E-BEAF-AE07B86B95D2}"/>
    <cellStyle name="Normal 4 2 2 4 3 9" xfId="17371" xr:uid="{6C692B63-1236-43D7-9921-24D6120E9F49}"/>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15" xr:uid="{3F699851-7C81-466A-9AA7-A09E24A122BF}"/>
    <cellStyle name="Normal 4 2 2 4 4 2 2 3" xfId="24143" xr:uid="{FFF91150-5BF6-445F-A9E2-50E6E6E6D7CA}"/>
    <cellStyle name="Normal 4 2 2 4 4 2 3" xfId="11497" xr:uid="{8B7CA61B-B593-43A9-B5A2-90B595A16E18}"/>
    <cellStyle name="Normal 4 2 2 4 4 2 4" xfId="19926" xr:uid="{B851C5EB-CDE8-4AE2-B8A9-C1A15543F201}"/>
    <cellStyle name="Normal 4 2 2 4 4 3" xfId="5141" xr:uid="{00000000-0005-0000-0000-0000D1120000}"/>
    <cellStyle name="Normal 4 2 2 4 4 3 2" xfId="13570" xr:uid="{C5F45365-4226-46A6-B2B5-088880E5B13E}"/>
    <cellStyle name="Normal 4 2 2 4 4 3 3" xfId="21998" xr:uid="{F00E57FD-1154-4E26-A3C7-2774284A2EE0}"/>
    <cellStyle name="Normal 4 2 2 4 4 4" xfId="9352" xr:uid="{DB77B504-6311-4A8D-8C9C-827EEE10224B}"/>
    <cellStyle name="Normal 4 2 2 4 4 5" xfId="17781" xr:uid="{632EEB4A-BD49-4DDD-822D-7517452303BF}"/>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8" xr:uid="{1DC61DDC-C64D-4B11-98C1-09D4F6B15BA8}"/>
    <cellStyle name="Normal 4 2 2 4 5 2 2 3" xfId="24556" xr:uid="{31FA8E8F-1D4E-410D-8D0A-B846FF733DC8}"/>
    <cellStyle name="Normal 4 2 2 4 5 2 3" xfId="11910" xr:uid="{CD9B4A3D-EBF0-46BA-9883-6715D89509DD}"/>
    <cellStyle name="Normal 4 2 2 4 5 2 4" xfId="20339" xr:uid="{6635CDE5-02EE-40AD-8DB1-11F7DDD22C4F}"/>
    <cellStyle name="Normal 4 2 2 4 5 3" xfId="5554" xr:uid="{00000000-0005-0000-0000-0000D5120000}"/>
    <cellStyle name="Normal 4 2 2 4 5 3 2" xfId="13983" xr:uid="{7852D995-2456-45C8-AFA0-05BB6D6A5126}"/>
    <cellStyle name="Normal 4 2 2 4 5 3 3" xfId="22411" xr:uid="{96035979-FC2B-4406-9BE6-C3EAF55718EE}"/>
    <cellStyle name="Normal 4 2 2 4 5 4" xfId="9765" xr:uid="{16D7E8EB-169A-4FE4-8699-D65CCF046F7F}"/>
    <cellStyle name="Normal 4 2 2 4 5 5" xfId="18194" xr:uid="{1147EACF-408E-4847-AA86-12C5BC502666}"/>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41" xr:uid="{E899FB80-76A6-4EB2-AF9F-51B8A21BD893}"/>
    <cellStyle name="Normal 4 2 2 4 6 2 2 3" xfId="24969" xr:uid="{D0B68402-3F10-4890-804E-83736CC0C1E5}"/>
    <cellStyle name="Normal 4 2 2 4 6 2 3" xfId="12323" xr:uid="{1ADFBA09-47FE-4112-BF95-C9B17B72E658}"/>
    <cellStyle name="Normal 4 2 2 4 6 2 4" xfId="20752" xr:uid="{FC919140-6E64-42BC-8650-7FE7181EFEC7}"/>
    <cellStyle name="Normal 4 2 2 4 6 3" xfId="5967" xr:uid="{00000000-0005-0000-0000-0000D9120000}"/>
    <cellStyle name="Normal 4 2 2 4 6 3 2" xfId="14396" xr:uid="{13B085F0-CC27-4956-ACF7-BF4DD9BD55C8}"/>
    <cellStyle name="Normal 4 2 2 4 6 3 3" xfId="22824" xr:uid="{6C2E7E7C-B0CA-4818-B2AB-EE0FB72DB361}"/>
    <cellStyle name="Normal 4 2 2 4 6 4" xfId="10178" xr:uid="{DE07AD8D-EC5F-4694-8D4E-6E308A8F8F86}"/>
    <cellStyle name="Normal 4 2 2 4 6 5" xfId="18607" xr:uid="{1BC13551-DF55-4D4C-994F-4DB822268F3F}"/>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54" xr:uid="{E97977BF-718F-4BEF-85D9-8720E1934256}"/>
    <cellStyle name="Normal 4 2 2 4 7 2 2 3" xfId="25382" xr:uid="{D6AE084E-F90A-41FB-9676-B5A84590917C}"/>
    <cellStyle name="Normal 4 2 2 4 7 2 3" xfId="12736" xr:uid="{FFC0875D-D01C-4C90-B1BC-D67AC90D1B63}"/>
    <cellStyle name="Normal 4 2 2 4 7 2 4" xfId="21165" xr:uid="{70EF326F-8EE7-4ACC-8177-69B747B6919C}"/>
    <cellStyle name="Normal 4 2 2 4 7 3" xfId="6380" xr:uid="{00000000-0005-0000-0000-0000DD120000}"/>
    <cellStyle name="Normal 4 2 2 4 7 3 2" xfId="14809" xr:uid="{6E6B85E5-DD51-49C8-A873-850BA0329D6F}"/>
    <cellStyle name="Normal 4 2 2 4 7 3 3" xfId="23237" xr:uid="{658BA1E2-C362-45C8-966F-62E9AAED00B2}"/>
    <cellStyle name="Normal 4 2 2 4 7 4" xfId="10591" xr:uid="{BC10E3B9-E511-4931-BDAD-4411549D1FB2}"/>
    <cellStyle name="Normal 4 2 2 4 7 5" xfId="19020" xr:uid="{1A031DAC-9E9B-4A9A-9066-4E525CC2584C}"/>
    <cellStyle name="Normal 4 2 2 4 8" xfId="2508" xr:uid="{00000000-0005-0000-0000-0000DE120000}"/>
    <cellStyle name="Normal 4 2 2 4 8 2" xfId="6793" xr:uid="{00000000-0005-0000-0000-0000DF120000}"/>
    <cellStyle name="Normal 4 2 2 4 8 2 2" xfId="15222" xr:uid="{92D11888-DB03-4576-B9ED-195ECDD29528}"/>
    <cellStyle name="Normal 4 2 2 4 8 2 3" xfId="23650" xr:uid="{FB83BD41-FE60-418B-9702-37B767170552}"/>
    <cellStyle name="Normal 4 2 2 4 8 3" xfId="11004" xr:uid="{D471B31D-3E06-4674-8143-EB542E8D1BA3}"/>
    <cellStyle name="Normal 4 2 2 4 8 4" xfId="19433" xr:uid="{CBFD14FF-B4D6-45E7-B80E-8EA2D2C380EE}"/>
    <cellStyle name="Normal 4 2 2 4 9" xfId="4728" xr:uid="{00000000-0005-0000-0000-0000E0120000}"/>
    <cellStyle name="Normal 4 2 2 4 9 2" xfId="13157" xr:uid="{A8FBDBAE-5D96-4B5D-97E5-55DD86B3F9E8}"/>
    <cellStyle name="Normal 4 2 2 4 9 3" xfId="21585" xr:uid="{FED0CA04-8CCB-46E3-A261-D7A31ACE4929}"/>
    <cellStyle name="Normal 4 2 2 5" xfId="351" xr:uid="{00000000-0005-0000-0000-0000E1120000}"/>
    <cellStyle name="Normal 4 2 2 5 10" xfId="17372" xr:uid="{6C8229D4-AA1C-4F57-96C7-D138949E4EFF}"/>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20" xr:uid="{4F99A044-EF3F-4B76-8DB4-7459B89919E7}"/>
    <cellStyle name="Normal 4 2 2 5 2 2 2 2 3" xfId="24148" xr:uid="{833D99D1-97A3-4FFB-AB37-92D532C62929}"/>
    <cellStyle name="Normal 4 2 2 5 2 2 2 3" xfId="11502" xr:uid="{BC9732A2-EF05-4065-9501-A1687C3580F2}"/>
    <cellStyle name="Normal 4 2 2 5 2 2 2 4" xfId="19931" xr:uid="{5CE23A3F-1E5F-40C2-937E-820B156B7BAA}"/>
    <cellStyle name="Normal 4 2 2 5 2 2 3" xfId="5146" xr:uid="{00000000-0005-0000-0000-0000E6120000}"/>
    <cellStyle name="Normal 4 2 2 5 2 2 3 2" xfId="13575" xr:uid="{C2A27822-5C0B-4753-827D-40FB864FB4AE}"/>
    <cellStyle name="Normal 4 2 2 5 2 2 3 3" xfId="22003" xr:uid="{C33BBDB0-C105-4C14-9930-8A6B4C6330FB}"/>
    <cellStyle name="Normal 4 2 2 5 2 2 4" xfId="9357" xr:uid="{4F3E9D6F-2024-48DD-B58D-10F05A7170D6}"/>
    <cellStyle name="Normal 4 2 2 5 2 2 5" xfId="17786" xr:uid="{C93AFB66-FDB0-43E1-9071-1B3EDC39FEC6}"/>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33" xr:uid="{5183F90A-188E-4BEB-9408-8F70D49C8147}"/>
    <cellStyle name="Normal 4 2 2 5 2 3 2 2 3" xfId="24561" xr:uid="{86EAD753-6434-4A4C-82FB-C850C55E2671}"/>
    <cellStyle name="Normal 4 2 2 5 2 3 2 3" xfId="11915" xr:uid="{444603E7-32F8-42D2-B01A-BCEAEA94DCA2}"/>
    <cellStyle name="Normal 4 2 2 5 2 3 2 4" xfId="20344" xr:uid="{0C358F6F-2665-4D86-8169-6A591DCDC7A3}"/>
    <cellStyle name="Normal 4 2 2 5 2 3 3" xfId="5559" xr:uid="{00000000-0005-0000-0000-0000EA120000}"/>
    <cellStyle name="Normal 4 2 2 5 2 3 3 2" xfId="13988" xr:uid="{E1B2F321-FA36-48EB-AD9D-DFF784401020}"/>
    <cellStyle name="Normal 4 2 2 5 2 3 3 3" xfId="22416" xr:uid="{71A751F6-27B5-451E-B035-F2120E55AA39}"/>
    <cellStyle name="Normal 4 2 2 5 2 3 4" xfId="9770" xr:uid="{D21ABA9A-7EA5-4961-B3D4-6906A11DDAD1}"/>
    <cellStyle name="Normal 4 2 2 5 2 3 5" xfId="18199" xr:uid="{B039E64B-A085-4D7C-9DF3-B8BE7473D25C}"/>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46" xr:uid="{7C756F09-20C1-4955-8CA3-C081DA3131FB}"/>
    <cellStyle name="Normal 4 2 2 5 2 4 2 2 3" xfId="24974" xr:uid="{ABDF2C94-55DB-4D25-A187-486461D4118A}"/>
    <cellStyle name="Normal 4 2 2 5 2 4 2 3" xfId="12328" xr:uid="{98F07BD1-4DC0-4698-94A8-16AA2570AF84}"/>
    <cellStyle name="Normal 4 2 2 5 2 4 2 4" xfId="20757" xr:uid="{1841AC50-F76A-478D-A891-9B5D41199132}"/>
    <cellStyle name="Normal 4 2 2 5 2 4 3" xfId="5972" xr:uid="{00000000-0005-0000-0000-0000EE120000}"/>
    <cellStyle name="Normal 4 2 2 5 2 4 3 2" xfId="14401" xr:uid="{0A4954DF-8C18-4275-B095-C6E44B3192A2}"/>
    <cellStyle name="Normal 4 2 2 5 2 4 3 3" xfId="22829" xr:uid="{FBA9E13F-303E-4C08-B30E-82E47463005D}"/>
    <cellStyle name="Normal 4 2 2 5 2 4 4" xfId="10183" xr:uid="{E3921FB0-9548-40E7-9141-58E837A2CFC6}"/>
    <cellStyle name="Normal 4 2 2 5 2 4 5" xfId="18612" xr:uid="{55E6F9BF-7FCE-4CC6-83CF-6D84FC67B09F}"/>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9" xr:uid="{A43C83EC-BF91-431E-AC91-57BA58878FDC}"/>
    <cellStyle name="Normal 4 2 2 5 2 5 2 2 3" xfId="25387" xr:uid="{41F86345-5C04-4DA6-9CB6-A8A20A6ECA78}"/>
    <cellStyle name="Normal 4 2 2 5 2 5 2 3" xfId="12741" xr:uid="{A2E5221F-4C94-4C30-89A1-001ACDBF4204}"/>
    <cellStyle name="Normal 4 2 2 5 2 5 2 4" xfId="21170" xr:uid="{726099B3-9C67-495B-B8D4-8D65FFEC710A}"/>
    <cellStyle name="Normal 4 2 2 5 2 5 3" xfId="6385" xr:uid="{00000000-0005-0000-0000-0000F2120000}"/>
    <cellStyle name="Normal 4 2 2 5 2 5 3 2" xfId="14814" xr:uid="{5D143145-F4CE-448D-82C3-A8E719751F0D}"/>
    <cellStyle name="Normal 4 2 2 5 2 5 3 3" xfId="23242" xr:uid="{B596A33F-E7CD-4CDC-93E9-2642BFBD49DE}"/>
    <cellStyle name="Normal 4 2 2 5 2 5 4" xfId="10596" xr:uid="{E7B46351-F054-4708-8696-F35AF245F033}"/>
    <cellStyle name="Normal 4 2 2 5 2 5 5" xfId="19025" xr:uid="{8597EFE0-3ED7-48F8-B6BB-89EFF7F55B14}"/>
    <cellStyle name="Normal 4 2 2 5 2 6" xfId="2513" xr:uid="{00000000-0005-0000-0000-0000F3120000}"/>
    <cellStyle name="Normal 4 2 2 5 2 6 2" xfId="6798" xr:uid="{00000000-0005-0000-0000-0000F4120000}"/>
    <cellStyle name="Normal 4 2 2 5 2 6 2 2" xfId="15227" xr:uid="{5886AF1F-F382-4F68-BD1E-EF66187B87A3}"/>
    <cellStyle name="Normal 4 2 2 5 2 6 2 3" xfId="23655" xr:uid="{D650FC64-BB10-4376-971A-0B0ABCFF9BFC}"/>
    <cellStyle name="Normal 4 2 2 5 2 6 3" xfId="11009" xr:uid="{D7FD1DBC-97B1-480A-886E-79C23EF86FDA}"/>
    <cellStyle name="Normal 4 2 2 5 2 6 4" xfId="19438" xr:uid="{4F184BCD-4ECC-41BB-A9EB-88CDFDAEFF92}"/>
    <cellStyle name="Normal 4 2 2 5 2 7" xfId="4733" xr:uid="{00000000-0005-0000-0000-0000F5120000}"/>
    <cellStyle name="Normal 4 2 2 5 2 7 2" xfId="13162" xr:uid="{7C8DAC77-A9AB-4C40-8EF4-C8694812F9BC}"/>
    <cellStyle name="Normal 4 2 2 5 2 7 3" xfId="21590" xr:uid="{CFBC8938-2C8A-4EA6-BCEC-3E0506E41E38}"/>
    <cellStyle name="Normal 4 2 2 5 2 8" xfId="8944" xr:uid="{0E6209FE-6D9B-45A1-BCD3-875FD6B62020}"/>
    <cellStyle name="Normal 4 2 2 5 2 9" xfId="17373" xr:uid="{8BF691C4-F4D5-4395-9D47-471A60E303A7}"/>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9" xr:uid="{9CCD3B5A-C2F4-4AF1-BE18-4E456E5A7B51}"/>
    <cellStyle name="Normal 4 2 2 5 3 2 2 3" xfId="24147" xr:uid="{9AA5FCA3-859A-4526-A238-26339BDA6063}"/>
    <cellStyle name="Normal 4 2 2 5 3 2 3" xfId="11501" xr:uid="{FE88DB5E-9BED-441B-A705-9845874368F2}"/>
    <cellStyle name="Normal 4 2 2 5 3 2 4" xfId="19930" xr:uid="{150861C3-39EA-414B-9B36-A1614E913102}"/>
    <cellStyle name="Normal 4 2 2 5 3 3" xfId="5145" xr:uid="{00000000-0005-0000-0000-0000F9120000}"/>
    <cellStyle name="Normal 4 2 2 5 3 3 2" xfId="13574" xr:uid="{9A72827E-06B4-4CBC-AE1E-EB2C03949460}"/>
    <cellStyle name="Normal 4 2 2 5 3 3 3" xfId="22002" xr:uid="{2619A89E-986A-4E9D-B6AC-CD1D99FF2FC7}"/>
    <cellStyle name="Normal 4 2 2 5 3 4" xfId="9356" xr:uid="{63DFCBE8-BFD2-4A9A-B7A5-71484661F7CA}"/>
    <cellStyle name="Normal 4 2 2 5 3 5" xfId="17785" xr:uid="{3D9FFDCD-9541-45A4-AE5C-9C70B89D0BEE}"/>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32" xr:uid="{0B309BC2-4823-4520-A5AA-0249CC0F2D8F}"/>
    <cellStyle name="Normal 4 2 2 5 4 2 2 3" xfId="24560" xr:uid="{35CEE14D-304B-4288-BED5-140276C20E75}"/>
    <cellStyle name="Normal 4 2 2 5 4 2 3" xfId="11914" xr:uid="{47175E31-0F7B-4ED9-9E74-B536AC0FF051}"/>
    <cellStyle name="Normal 4 2 2 5 4 2 4" xfId="20343" xr:uid="{E8873EEC-F4C3-427F-9672-8866101B5802}"/>
    <cellStyle name="Normal 4 2 2 5 4 3" xfId="5558" xr:uid="{00000000-0005-0000-0000-0000FD120000}"/>
    <cellStyle name="Normal 4 2 2 5 4 3 2" xfId="13987" xr:uid="{D08E4B16-A9D1-4169-8BAC-8EF6F2D2FCC2}"/>
    <cellStyle name="Normal 4 2 2 5 4 3 3" xfId="22415" xr:uid="{ED00994B-B5C1-41B0-8121-618BBD462307}"/>
    <cellStyle name="Normal 4 2 2 5 4 4" xfId="9769" xr:uid="{9758B1CB-8F09-4F91-A608-6565029CC2BF}"/>
    <cellStyle name="Normal 4 2 2 5 4 5" xfId="18198" xr:uid="{6739FC8C-AE50-4248-A2EE-987FD4C51C5B}"/>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45" xr:uid="{DA40C857-3661-4566-82BE-FDACB8EC4335}"/>
    <cellStyle name="Normal 4 2 2 5 5 2 2 3" xfId="24973" xr:uid="{AD653348-6F4F-4F88-BA79-DEE342232BE3}"/>
    <cellStyle name="Normal 4 2 2 5 5 2 3" xfId="12327" xr:uid="{018F16E1-3B6A-434C-ACCD-166B8B13F5D0}"/>
    <cellStyle name="Normal 4 2 2 5 5 2 4" xfId="20756" xr:uid="{FF2F8117-5567-4334-B6C5-F99CA8201E3D}"/>
    <cellStyle name="Normal 4 2 2 5 5 3" xfId="5971" xr:uid="{00000000-0005-0000-0000-000001130000}"/>
    <cellStyle name="Normal 4 2 2 5 5 3 2" xfId="14400" xr:uid="{508FC285-0907-4E3F-BF20-9615A8C68CB3}"/>
    <cellStyle name="Normal 4 2 2 5 5 3 3" xfId="22828" xr:uid="{970FE1D8-7EB1-41D7-8F86-3D04616CE3E5}"/>
    <cellStyle name="Normal 4 2 2 5 5 4" xfId="10182" xr:uid="{E58A0FCA-0BE4-4128-8447-9C23DD1C3070}"/>
    <cellStyle name="Normal 4 2 2 5 5 5" xfId="18611" xr:uid="{39C09BC1-6A2D-470B-B94F-FBEE5984A911}"/>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8" xr:uid="{2D7D03AE-8BDD-4FC1-8920-902B5A7C7355}"/>
    <cellStyle name="Normal 4 2 2 5 6 2 2 3" xfId="25386" xr:uid="{659062CA-3224-4499-98E5-4B36B4A96404}"/>
    <cellStyle name="Normal 4 2 2 5 6 2 3" xfId="12740" xr:uid="{64FBB176-7326-4E78-BFD7-88195A903311}"/>
    <cellStyle name="Normal 4 2 2 5 6 2 4" xfId="21169" xr:uid="{BD38983B-2517-4562-BC96-2D250F66C1F2}"/>
    <cellStyle name="Normal 4 2 2 5 6 3" xfId="6384" xr:uid="{00000000-0005-0000-0000-000005130000}"/>
    <cellStyle name="Normal 4 2 2 5 6 3 2" xfId="14813" xr:uid="{A3ECB0E0-15CD-45BB-BAD4-BAE5F5F337A1}"/>
    <cellStyle name="Normal 4 2 2 5 6 3 3" xfId="23241" xr:uid="{96970C68-225D-44B0-911C-4F7BD5050B90}"/>
    <cellStyle name="Normal 4 2 2 5 6 4" xfId="10595" xr:uid="{A3215238-5F4F-43CD-BCD7-882677123715}"/>
    <cellStyle name="Normal 4 2 2 5 6 5" xfId="19024" xr:uid="{97F7FD02-3AB4-4B90-95D1-A0DE13E6310D}"/>
    <cellStyle name="Normal 4 2 2 5 7" xfId="2512" xr:uid="{00000000-0005-0000-0000-000006130000}"/>
    <cellStyle name="Normal 4 2 2 5 7 2" xfId="6797" xr:uid="{00000000-0005-0000-0000-000007130000}"/>
    <cellStyle name="Normal 4 2 2 5 7 2 2" xfId="15226" xr:uid="{465D27FD-535E-4EF0-A80A-D77F20E8C73A}"/>
    <cellStyle name="Normal 4 2 2 5 7 2 3" xfId="23654" xr:uid="{2493AEA0-1494-4F87-89EE-38959DA18934}"/>
    <cellStyle name="Normal 4 2 2 5 7 3" xfId="11008" xr:uid="{75C114DB-5EB8-42DB-9BF4-08FE2905CFC5}"/>
    <cellStyle name="Normal 4 2 2 5 7 4" xfId="19437" xr:uid="{6714E2D6-4B2A-47EC-B7FE-A27A34116C4D}"/>
    <cellStyle name="Normal 4 2 2 5 8" xfId="4732" xr:uid="{00000000-0005-0000-0000-000008130000}"/>
    <cellStyle name="Normal 4 2 2 5 8 2" xfId="13161" xr:uid="{10F79A2E-A606-4D19-8F0D-32CCFF8FB19B}"/>
    <cellStyle name="Normal 4 2 2 5 8 3" xfId="21589" xr:uid="{D867A7BE-3E14-46DD-965F-1A2124E57802}"/>
    <cellStyle name="Normal 4 2 2 5 9" xfId="8943" xr:uid="{F1A3FD8B-8BF4-4EA5-B982-2A87CEC66907}"/>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21" xr:uid="{F3ECF261-8283-41A0-86C9-22A8CC0AE3FE}"/>
    <cellStyle name="Normal 4 2 2 6 2 2 2 3" xfId="24149" xr:uid="{59733C71-F4F7-4754-BB70-9AABD4BAFB2B}"/>
    <cellStyle name="Normal 4 2 2 6 2 2 3" xfId="11503" xr:uid="{C3DBBB01-9B51-4312-89E3-22164E0382AD}"/>
    <cellStyle name="Normal 4 2 2 6 2 2 4" xfId="19932" xr:uid="{7458F796-6147-470A-9D7D-82D1D5EAA3E5}"/>
    <cellStyle name="Normal 4 2 2 6 2 3" xfId="5147" xr:uid="{00000000-0005-0000-0000-00000D130000}"/>
    <cellStyle name="Normal 4 2 2 6 2 3 2" xfId="13576" xr:uid="{544A2547-D06B-4B1A-B243-7FD573866A86}"/>
    <cellStyle name="Normal 4 2 2 6 2 3 3" xfId="22004" xr:uid="{59E69508-5FEC-4A9D-81EA-21013316EA71}"/>
    <cellStyle name="Normal 4 2 2 6 2 4" xfId="9358" xr:uid="{032929DF-9553-46AD-9F8F-29677B2C2343}"/>
    <cellStyle name="Normal 4 2 2 6 2 5" xfId="17787" xr:uid="{72ED6ECF-F53F-49A0-BA8D-295DC91ED979}"/>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34" xr:uid="{D27EFAB5-B9EE-417F-B9F1-D9C6BE03DF43}"/>
    <cellStyle name="Normal 4 2 2 6 3 2 2 3" xfId="24562" xr:uid="{9930C2E2-F0B5-4AE0-A336-F7E4646C817D}"/>
    <cellStyle name="Normal 4 2 2 6 3 2 3" xfId="11916" xr:uid="{5F2B8EB2-1AD5-4100-9E31-8C80E6B4291B}"/>
    <cellStyle name="Normal 4 2 2 6 3 2 4" xfId="20345" xr:uid="{83BD294F-CDBF-4262-AE45-2A9728D855C9}"/>
    <cellStyle name="Normal 4 2 2 6 3 3" xfId="5560" xr:uid="{00000000-0005-0000-0000-000011130000}"/>
    <cellStyle name="Normal 4 2 2 6 3 3 2" xfId="13989" xr:uid="{5B0BB9D7-7715-4F6E-B02D-52F68C55482D}"/>
    <cellStyle name="Normal 4 2 2 6 3 3 3" xfId="22417" xr:uid="{C1A66821-8EA8-43A5-8D49-CA34A360B659}"/>
    <cellStyle name="Normal 4 2 2 6 3 4" xfId="9771" xr:uid="{7E2ABD38-B6D8-4F72-9474-7196F19A9642}"/>
    <cellStyle name="Normal 4 2 2 6 3 5" xfId="18200" xr:uid="{AD38C32C-B3AF-45BB-8999-2A9A803C3017}"/>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7" xr:uid="{BDDBD098-5E08-4E02-AF8D-8808724B407B}"/>
    <cellStyle name="Normal 4 2 2 6 4 2 2 3" xfId="24975" xr:uid="{4B2E7519-3DFA-4B58-B034-3AC595B3BEBB}"/>
    <cellStyle name="Normal 4 2 2 6 4 2 3" xfId="12329" xr:uid="{86449B05-54D6-4354-919B-611774102979}"/>
    <cellStyle name="Normal 4 2 2 6 4 2 4" xfId="20758" xr:uid="{617BE24D-8778-49A0-B359-B9015E2F0CD2}"/>
    <cellStyle name="Normal 4 2 2 6 4 3" xfId="5973" xr:uid="{00000000-0005-0000-0000-000015130000}"/>
    <cellStyle name="Normal 4 2 2 6 4 3 2" xfId="14402" xr:uid="{69DEBCBF-F886-4D0A-8F70-B59FF165C9B1}"/>
    <cellStyle name="Normal 4 2 2 6 4 3 3" xfId="22830" xr:uid="{56A98CE0-A5A0-4739-B74A-30920C6C24AA}"/>
    <cellStyle name="Normal 4 2 2 6 4 4" xfId="10184" xr:uid="{49EDE257-BDD8-4038-AD97-10B08475B158}"/>
    <cellStyle name="Normal 4 2 2 6 4 5" xfId="18613" xr:uid="{0C34ECF8-2647-46FA-8DAB-9BD4AF12F0BC}"/>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60" xr:uid="{6C8713FA-06D7-41B7-8BD6-43A9C3A5C908}"/>
    <cellStyle name="Normal 4 2 2 6 5 2 2 3" xfId="25388" xr:uid="{9DC5EDC8-8E8E-458B-AEFF-917C7C6216F1}"/>
    <cellStyle name="Normal 4 2 2 6 5 2 3" xfId="12742" xr:uid="{21DC284A-5F23-4077-A118-FC3D9417D992}"/>
    <cellStyle name="Normal 4 2 2 6 5 2 4" xfId="21171" xr:uid="{EEB755F2-2811-40C6-86F1-D8139534A2F1}"/>
    <cellStyle name="Normal 4 2 2 6 5 3" xfId="6386" xr:uid="{00000000-0005-0000-0000-000019130000}"/>
    <cellStyle name="Normal 4 2 2 6 5 3 2" xfId="14815" xr:uid="{F550DE58-73BB-4BBD-8DBD-5B0D868D5DB9}"/>
    <cellStyle name="Normal 4 2 2 6 5 3 3" xfId="23243" xr:uid="{C5D9DACF-6DEE-4ED5-BAEC-248A281C9E70}"/>
    <cellStyle name="Normal 4 2 2 6 5 4" xfId="10597" xr:uid="{71C501C2-17B9-410A-9443-58AA9DA9E248}"/>
    <cellStyle name="Normal 4 2 2 6 5 5" xfId="19026" xr:uid="{7A89DC9F-5328-4BD6-A74D-42A16641115F}"/>
    <cellStyle name="Normal 4 2 2 6 6" xfId="2514" xr:uid="{00000000-0005-0000-0000-00001A130000}"/>
    <cellStyle name="Normal 4 2 2 6 6 2" xfId="6799" xr:uid="{00000000-0005-0000-0000-00001B130000}"/>
    <cellStyle name="Normal 4 2 2 6 6 2 2" xfId="15228" xr:uid="{55C45AED-BE20-4E7F-BC51-1BF338A60DC2}"/>
    <cellStyle name="Normal 4 2 2 6 6 2 3" xfId="23656" xr:uid="{7889B2FF-98B7-45B2-9C70-8111AA46CA8B}"/>
    <cellStyle name="Normal 4 2 2 6 6 3" xfId="11010" xr:uid="{676193E1-521D-4D66-9944-597145B9FE84}"/>
    <cellStyle name="Normal 4 2 2 6 6 4" xfId="19439" xr:uid="{9FA6DD55-2415-4424-9A73-7810B57A6767}"/>
    <cellStyle name="Normal 4 2 2 6 7" xfId="4734" xr:uid="{00000000-0005-0000-0000-00001C130000}"/>
    <cellStyle name="Normal 4 2 2 6 7 2" xfId="13163" xr:uid="{A0EF0550-84F1-4EEF-B1B2-6EF1CC6DBD28}"/>
    <cellStyle name="Normal 4 2 2 6 7 3" xfId="21591" xr:uid="{E6BA7F44-81E1-47EC-9802-B8DEA6D10848}"/>
    <cellStyle name="Normal 4 2 2 6 8" xfId="8945" xr:uid="{AE400817-55A2-4056-9081-951A53698D63}"/>
    <cellStyle name="Normal 4 2 2 6 9" xfId="17374" xr:uid="{AF7A5B92-8490-4586-ADD5-DEE5554955D1}"/>
    <cellStyle name="Normal 4 2 2 7" xfId="816" xr:uid="{00000000-0005-0000-0000-00001D130000}"/>
    <cellStyle name="Normal 4 2 2 7 2" xfId="3053" xr:uid="{00000000-0005-0000-0000-00001E130000}"/>
    <cellStyle name="Normal 4 2 2 7 2 2" xfId="7277" xr:uid="{00000000-0005-0000-0000-00001F130000}"/>
    <cellStyle name="Normal 4 2 2 7 2 2 2" xfId="15706" xr:uid="{27AE7788-0284-4153-87FF-3AFDB5774ED6}"/>
    <cellStyle name="Normal 4 2 2 7 2 2 3" xfId="24134" xr:uid="{127AA75B-F4E0-429A-8336-C7950C0C0D28}"/>
    <cellStyle name="Normal 4 2 2 7 2 3" xfId="11488" xr:uid="{D8AA0BC2-816A-4F19-9A3D-9D42FA5BD944}"/>
    <cellStyle name="Normal 4 2 2 7 2 4" xfId="19917" xr:uid="{EDEC5854-0DBA-4478-AC2F-1C3707C9E504}"/>
    <cellStyle name="Normal 4 2 2 7 3" xfId="5132" xr:uid="{00000000-0005-0000-0000-000020130000}"/>
    <cellStyle name="Normal 4 2 2 7 3 2" xfId="13561" xr:uid="{E6B761D4-6AC1-470F-8106-6B1546F59BB2}"/>
    <cellStyle name="Normal 4 2 2 7 3 3" xfId="21989" xr:uid="{362994E5-0FD5-4965-A3D0-EC40355C3BDA}"/>
    <cellStyle name="Normal 4 2 2 7 4" xfId="9343" xr:uid="{63045E98-9DB2-43D9-B37E-78B8B61BC451}"/>
    <cellStyle name="Normal 4 2 2 7 5" xfId="17772" xr:uid="{BCB7C97E-76D2-4A69-9A44-09939FEFEC80}"/>
    <cellStyle name="Normal 4 2 2 8" xfId="1236" xr:uid="{00000000-0005-0000-0000-000021130000}"/>
    <cellStyle name="Normal 4 2 2 8 2" xfId="3466" xr:uid="{00000000-0005-0000-0000-000022130000}"/>
    <cellStyle name="Normal 4 2 2 8 2 2" xfId="7690" xr:uid="{00000000-0005-0000-0000-000023130000}"/>
    <cellStyle name="Normal 4 2 2 8 2 2 2" xfId="16119" xr:uid="{10AA7FD3-3268-48C9-972E-E171BC45F9F8}"/>
    <cellStyle name="Normal 4 2 2 8 2 2 3" xfId="24547" xr:uid="{2E88C947-BA56-432E-AE45-6E938BBEF9D2}"/>
    <cellStyle name="Normal 4 2 2 8 2 3" xfId="11901" xr:uid="{729B816B-E595-4BEF-B90B-58E787784792}"/>
    <cellStyle name="Normal 4 2 2 8 2 4" xfId="20330" xr:uid="{CB53DAAF-6704-42D7-A68B-5DEE50F3E8B7}"/>
    <cellStyle name="Normal 4 2 2 8 3" xfId="5545" xr:uid="{00000000-0005-0000-0000-000024130000}"/>
    <cellStyle name="Normal 4 2 2 8 3 2" xfId="13974" xr:uid="{307E3812-D502-4CDD-9490-712248E93B95}"/>
    <cellStyle name="Normal 4 2 2 8 3 3" xfId="22402" xr:uid="{39FA75FD-40F1-446F-A7E6-BF8ECD46AFE0}"/>
    <cellStyle name="Normal 4 2 2 8 4" xfId="9756" xr:uid="{5B1207DE-60FB-440B-8229-C3D683F63AD9}"/>
    <cellStyle name="Normal 4 2 2 8 5" xfId="18185" xr:uid="{1425763D-6808-4422-BB76-DCF7B71FBC73}"/>
    <cellStyle name="Normal 4 2 2 9" xfId="1649" xr:uid="{00000000-0005-0000-0000-000025130000}"/>
    <cellStyle name="Normal 4 2 2 9 2" xfId="3879" xr:uid="{00000000-0005-0000-0000-000026130000}"/>
    <cellStyle name="Normal 4 2 2 9 2 2" xfId="8103" xr:uid="{00000000-0005-0000-0000-000027130000}"/>
    <cellStyle name="Normal 4 2 2 9 2 2 2" xfId="16532" xr:uid="{0C84D2A4-9597-4DC5-BC96-503D5AAA9376}"/>
    <cellStyle name="Normal 4 2 2 9 2 2 3" xfId="24960" xr:uid="{DB00728A-D48A-48A6-A5D2-32D593C9613C}"/>
    <cellStyle name="Normal 4 2 2 9 2 3" xfId="12314" xr:uid="{6F303514-ABBE-4000-8278-98BEA3CD4F9A}"/>
    <cellStyle name="Normal 4 2 2 9 2 4" xfId="20743" xr:uid="{971DC3CF-5915-4260-BAD6-A7A643D3B513}"/>
    <cellStyle name="Normal 4 2 2 9 3" xfId="5958" xr:uid="{00000000-0005-0000-0000-000028130000}"/>
    <cellStyle name="Normal 4 2 2 9 3 2" xfId="14387" xr:uid="{16A5E46E-F503-4408-B217-DB6AC583E24E}"/>
    <cellStyle name="Normal 4 2 2 9 3 3" xfId="22815" xr:uid="{27F3EA70-4097-4302-B386-391DEEEE468E}"/>
    <cellStyle name="Normal 4 2 2 9 4" xfId="10169" xr:uid="{8FB601E1-FC93-492C-BFA4-C1A7487D09EE}"/>
    <cellStyle name="Normal 4 2 2 9 5" xfId="18598" xr:uid="{5433D80F-F6A7-48B8-8545-410A76029C57}"/>
    <cellStyle name="Normal 4 2 3" xfId="354" xr:uid="{00000000-0005-0000-0000-000029130000}"/>
    <cellStyle name="Normal 4 2 4" xfId="355" xr:uid="{00000000-0005-0000-0000-00002A130000}"/>
    <cellStyle name="Normal 4 2 4 10" xfId="4735" xr:uid="{00000000-0005-0000-0000-00002B130000}"/>
    <cellStyle name="Normal 4 2 4 10 2" xfId="13164" xr:uid="{C26A5C6A-CE04-444A-AB92-D41BD9B066EB}"/>
    <cellStyle name="Normal 4 2 4 10 3" xfId="21592" xr:uid="{36437E81-2ED0-489E-B574-20F82F0986F5}"/>
    <cellStyle name="Normal 4 2 4 11" xfId="8946" xr:uid="{7E7C8B18-0B35-4B10-A81F-A1A48017DE72}"/>
    <cellStyle name="Normal 4 2 4 12" xfId="17375" xr:uid="{E3460B98-A287-43F6-A9A8-BE365247FC9A}"/>
    <cellStyle name="Normal 4 2 4 2" xfId="356" xr:uid="{00000000-0005-0000-0000-00002C130000}"/>
    <cellStyle name="Normal 4 2 4 2 10" xfId="8947" xr:uid="{21EF8CA7-BE05-4F53-89E5-06140A97A956}"/>
    <cellStyle name="Normal 4 2 4 2 11" xfId="17376" xr:uid="{5D9A431C-DC9A-4686-A1E4-0C84FD04648F}"/>
    <cellStyle name="Normal 4 2 4 2 2" xfId="357" xr:uid="{00000000-0005-0000-0000-00002D130000}"/>
    <cellStyle name="Normal 4 2 4 2 2 10" xfId="17377" xr:uid="{7CA7ADE5-46EF-464C-9F69-C7DBC9DD857C}"/>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25" xr:uid="{AE7984EA-BBF1-4B06-AFD2-5986F30E9D36}"/>
    <cellStyle name="Normal 4 2 4 2 2 2 2 2 2 3" xfId="24153" xr:uid="{72138599-B113-4094-842E-F3D4491D4EF1}"/>
    <cellStyle name="Normal 4 2 4 2 2 2 2 2 3" xfId="11507" xr:uid="{1407A165-CF04-46EA-9C08-42AE1FC51EA1}"/>
    <cellStyle name="Normal 4 2 4 2 2 2 2 2 4" xfId="19936" xr:uid="{8A2092D3-58EF-41B9-B274-2F6A88D8FF8F}"/>
    <cellStyle name="Normal 4 2 4 2 2 2 2 3" xfId="5151" xr:uid="{00000000-0005-0000-0000-000032130000}"/>
    <cellStyle name="Normal 4 2 4 2 2 2 2 3 2" xfId="13580" xr:uid="{F0784E6C-CAC9-4E63-B003-1CE299F39DC1}"/>
    <cellStyle name="Normal 4 2 4 2 2 2 2 3 3" xfId="22008" xr:uid="{565D7D70-F66C-4BA7-8628-D501E3B56B01}"/>
    <cellStyle name="Normal 4 2 4 2 2 2 2 4" xfId="9362" xr:uid="{244ECBD3-D586-403A-9DB6-C806959ED42E}"/>
    <cellStyle name="Normal 4 2 4 2 2 2 2 5" xfId="17791" xr:uid="{5CD3BE2F-7704-45A1-977A-D46D22CD8922}"/>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8" xr:uid="{C4B1D8D8-55CA-4E79-B931-82068E23042D}"/>
    <cellStyle name="Normal 4 2 4 2 2 2 3 2 2 3" xfId="24566" xr:uid="{36C4AF9B-2334-4E21-9844-70289E61AE51}"/>
    <cellStyle name="Normal 4 2 4 2 2 2 3 2 3" xfId="11920" xr:uid="{B294B16C-1D92-4427-8596-991A43515458}"/>
    <cellStyle name="Normal 4 2 4 2 2 2 3 2 4" xfId="20349" xr:uid="{EFB1D325-30FD-47CC-85E1-63BD5D7DFC6F}"/>
    <cellStyle name="Normal 4 2 4 2 2 2 3 3" xfId="5564" xr:uid="{00000000-0005-0000-0000-000036130000}"/>
    <cellStyle name="Normal 4 2 4 2 2 2 3 3 2" xfId="13993" xr:uid="{26420272-396A-4A40-A1D7-1F816FF20648}"/>
    <cellStyle name="Normal 4 2 4 2 2 2 3 3 3" xfId="22421" xr:uid="{069BBABD-F8F4-4F22-B3DF-55FE902035C5}"/>
    <cellStyle name="Normal 4 2 4 2 2 2 3 4" xfId="9775" xr:uid="{900CFF65-DA5D-4366-B378-9504D6336218}"/>
    <cellStyle name="Normal 4 2 4 2 2 2 3 5" xfId="18204" xr:uid="{2CCA4F33-D952-4C7C-9285-4DC58C4CE9EA}"/>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51" xr:uid="{DA354C40-95C1-4502-A674-AD53351C8C2E}"/>
    <cellStyle name="Normal 4 2 4 2 2 2 4 2 2 3" xfId="24979" xr:uid="{BCFB6E92-5032-4509-97EF-9794B602BE31}"/>
    <cellStyle name="Normal 4 2 4 2 2 2 4 2 3" xfId="12333" xr:uid="{BEDB5EDA-F350-4241-8726-40E12A8BA046}"/>
    <cellStyle name="Normal 4 2 4 2 2 2 4 2 4" xfId="20762" xr:uid="{E02E4C40-DA5C-4E4E-853E-ABD931970F39}"/>
    <cellStyle name="Normal 4 2 4 2 2 2 4 3" xfId="5977" xr:uid="{00000000-0005-0000-0000-00003A130000}"/>
    <cellStyle name="Normal 4 2 4 2 2 2 4 3 2" xfId="14406" xr:uid="{46B7DEF5-4AB3-4ED0-80E9-F26850CE3C31}"/>
    <cellStyle name="Normal 4 2 4 2 2 2 4 3 3" xfId="22834" xr:uid="{92764037-51FF-4577-9946-A516DA46BEEC}"/>
    <cellStyle name="Normal 4 2 4 2 2 2 4 4" xfId="10188" xr:uid="{3282F1A3-D8BB-4AE4-8BD7-EFC621D3BA57}"/>
    <cellStyle name="Normal 4 2 4 2 2 2 4 5" xfId="18617" xr:uid="{87E98B68-A50D-4383-B65C-D3A70C4D3B2F}"/>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64" xr:uid="{77E6BF34-DB19-43B6-BE9B-F33694644236}"/>
    <cellStyle name="Normal 4 2 4 2 2 2 5 2 2 3" xfId="25392" xr:uid="{F809A86A-F39A-4ABE-924D-C1C5B0620517}"/>
    <cellStyle name="Normal 4 2 4 2 2 2 5 2 3" xfId="12746" xr:uid="{C977CE73-7FB2-48F2-BE13-487B70B9E98A}"/>
    <cellStyle name="Normal 4 2 4 2 2 2 5 2 4" xfId="21175" xr:uid="{AFEC06A9-D3DF-43CF-904B-1B9A01D1FD28}"/>
    <cellStyle name="Normal 4 2 4 2 2 2 5 3" xfId="6390" xr:uid="{00000000-0005-0000-0000-00003E130000}"/>
    <cellStyle name="Normal 4 2 4 2 2 2 5 3 2" xfId="14819" xr:uid="{60FA5747-1DD5-4326-B6DD-960A2E38B8C9}"/>
    <cellStyle name="Normal 4 2 4 2 2 2 5 3 3" xfId="23247" xr:uid="{003BBB1B-E671-4A6A-9997-D6E9EA591ABF}"/>
    <cellStyle name="Normal 4 2 4 2 2 2 5 4" xfId="10601" xr:uid="{936A4273-E4BB-496B-A72E-1D3E102465CC}"/>
    <cellStyle name="Normal 4 2 4 2 2 2 5 5" xfId="19030" xr:uid="{42C74B68-AACE-43F2-AB23-B1670E9557B5}"/>
    <cellStyle name="Normal 4 2 4 2 2 2 6" xfId="2518" xr:uid="{00000000-0005-0000-0000-00003F130000}"/>
    <cellStyle name="Normal 4 2 4 2 2 2 6 2" xfId="6803" xr:uid="{00000000-0005-0000-0000-000040130000}"/>
    <cellStyle name="Normal 4 2 4 2 2 2 6 2 2" xfId="15232" xr:uid="{94B498C3-A122-4D99-BF9B-4716AFBDD2D9}"/>
    <cellStyle name="Normal 4 2 4 2 2 2 6 2 3" xfId="23660" xr:uid="{24C4A0BA-1389-4B46-B3B9-48CA9155E667}"/>
    <cellStyle name="Normal 4 2 4 2 2 2 6 3" xfId="11014" xr:uid="{2D09548E-60A8-4A18-A76E-5AABC6F5B853}"/>
    <cellStyle name="Normal 4 2 4 2 2 2 6 4" xfId="19443" xr:uid="{D5AFF7C7-4FFE-416D-9B12-1C85BA5D624A}"/>
    <cellStyle name="Normal 4 2 4 2 2 2 7" xfId="4738" xr:uid="{00000000-0005-0000-0000-000041130000}"/>
    <cellStyle name="Normal 4 2 4 2 2 2 7 2" xfId="13167" xr:uid="{7F199E7C-9AF6-4189-8563-140C7A7EF25F}"/>
    <cellStyle name="Normal 4 2 4 2 2 2 7 3" xfId="21595" xr:uid="{31065CD8-ACC8-4302-AF04-C7CBD9BD9D2D}"/>
    <cellStyle name="Normal 4 2 4 2 2 2 8" xfId="8949" xr:uid="{53466F07-F4A2-4E91-8B50-4BFB725F40A7}"/>
    <cellStyle name="Normal 4 2 4 2 2 2 9" xfId="17378" xr:uid="{848926E8-9D3C-4222-82B2-0BBE0F88C3AC}"/>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24" xr:uid="{BD8103D1-7010-41B4-900D-03705080EF1C}"/>
    <cellStyle name="Normal 4 2 4 2 2 3 2 2 3" xfId="24152" xr:uid="{53CC2F61-3510-4259-A172-20C121970576}"/>
    <cellStyle name="Normal 4 2 4 2 2 3 2 3" xfId="11506" xr:uid="{6E7964EB-5A04-4F3A-96ED-FF0F3CB273EB}"/>
    <cellStyle name="Normal 4 2 4 2 2 3 2 4" xfId="19935" xr:uid="{AD05CC90-AD51-4F76-BB45-CB78FAD29E7A}"/>
    <cellStyle name="Normal 4 2 4 2 2 3 3" xfId="5150" xr:uid="{00000000-0005-0000-0000-000045130000}"/>
    <cellStyle name="Normal 4 2 4 2 2 3 3 2" xfId="13579" xr:uid="{BC54CAA6-C9E5-4122-984E-9F2C0DE2D107}"/>
    <cellStyle name="Normal 4 2 4 2 2 3 3 3" xfId="22007" xr:uid="{4B69E334-6DD1-457D-98B7-3BBDF8CB641F}"/>
    <cellStyle name="Normal 4 2 4 2 2 3 4" xfId="9361" xr:uid="{400DE8CC-9035-4551-ACF5-DE993A2595C9}"/>
    <cellStyle name="Normal 4 2 4 2 2 3 5" xfId="17790" xr:uid="{D02867B9-D2E6-4037-AFAC-E05E06F88D27}"/>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7" xr:uid="{7063FB17-B48D-467C-BEE6-6A46580BE89C}"/>
    <cellStyle name="Normal 4 2 4 2 2 4 2 2 3" xfId="24565" xr:uid="{CE3EB2F9-DDB6-4696-8512-982844B92D83}"/>
    <cellStyle name="Normal 4 2 4 2 2 4 2 3" xfId="11919" xr:uid="{A61A9EF1-8DD6-43E0-95FE-C7C0C050FBC1}"/>
    <cellStyle name="Normal 4 2 4 2 2 4 2 4" xfId="20348" xr:uid="{3B5E612F-3CB0-472B-A157-7BA2F37025B1}"/>
    <cellStyle name="Normal 4 2 4 2 2 4 3" xfId="5563" xr:uid="{00000000-0005-0000-0000-000049130000}"/>
    <cellStyle name="Normal 4 2 4 2 2 4 3 2" xfId="13992" xr:uid="{B9BE287C-21A4-4094-BB6F-3F24A253BB65}"/>
    <cellStyle name="Normal 4 2 4 2 2 4 3 3" xfId="22420" xr:uid="{45A157E3-FD02-402C-8516-461811E04A72}"/>
    <cellStyle name="Normal 4 2 4 2 2 4 4" xfId="9774" xr:uid="{75479E1A-4120-404F-8922-2119CF54480F}"/>
    <cellStyle name="Normal 4 2 4 2 2 4 5" xfId="18203" xr:uid="{6124CDB1-9F8D-44F0-B467-DD3DD29856FB}"/>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50" xr:uid="{CBF12779-21D2-4FA6-800D-D942C410DDDA}"/>
    <cellStyle name="Normal 4 2 4 2 2 5 2 2 3" xfId="24978" xr:uid="{B0F33E72-6EA1-4CE8-BB8E-3B2AF0D822B4}"/>
    <cellStyle name="Normal 4 2 4 2 2 5 2 3" xfId="12332" xr:uid="{FB73D1EB-2050-44A5-9492-1201248C63DC}"/>
    <cellStyle name="Normal 4 2 4 2 2 5 2 4" xfId="20761" xr:uid="{BAF9BA1C-EC98-416D-9384-9BCC172BD8BA}"/>
    <cellStyle name="Normal 4 2 4 2 2 5 3" xfId="5976" xr:uid="{00000000-0005-0000-0000-00004D130000}"/>
    <cellStyle name="Normal 4 2 4 2 2 5 3 2" xfId="14405" xr:uid="{E1B324FE-504F-4B29-B284-B7E080D61F28}"/>
    <cellStyle name="Normal 4 2 4 2 2 5 3 3" xfId="22833" xr:uid="{7FB4E98A-B51E-4BCA-A590-17F9E9CFEC6D}"/>
    <cellStyle name="Normal 4 2 4 2 2 5 4" xfId="10187" xr:uid="{B911CEC8-B4AD-4079-B0EB-FD1B1FF07B31}"/>
    <cellStyle name="Normal 4 2 4 2 2 5 5" xfId="18616" xr:uid="{C6EF8795-2C1C-4E8A-9FC5-D5D94702C2E9}"/>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63" xr:uid="{09F115D9-E77E-42DB-BB82-57EFE75C5768}"/>
    <cellStyle name="Normal 4 2 4 2 2 6 2 2 3" xfId="25391" xr:uid="{B6FBB1F3-018B-4E5C-A197-8A7284882656}"/>
    <cellStyle name="Normal 4 2 4 2 2 6 2 3" xfId="12745" xr:uid="{BA730DA1-4520-4C79-BF2C-1388F8E629A9}"/>
    <cellStyle name="Normal 4 2 4 2 2 6 2 4" xfId="21174" xr:uid="{6019DF44-48FB-4B56-B3F5-1E0C61F5DE51}"/>
    <cellStyle name="Normal 4 2 4 2 2 6 3" xfId="6389" xr:uid="{00000000-0005-0000-0000-000051130000}"/>
    <cellStyle name="Normal 4 2 4 2 2 6 3 2" xfId="14818" xr:uid="{6A4C13F6-DC4E-4AE6-858F-121FDA7A9353}"/>
    <cellStyle name="Normal 4 2 4 2 2 6 3 3" xfId="23246" xr:uid="{E6B22CB0-B360-4583-9F34-9DC1E4496378}"/>
    <cellStyle name="Normal 4 2 4 2 2 6 4" xfId="10600" xr:uid="{1E2C6EF6-80E4-4082-85AC-CF70301A674E}"/>
    <cellStyle name="Normal 4 2 4 2 2 6 5" xfId="19029" xr:uid="{87F53FD5-ABD8-4BDD-A863-3F9722A24D8E}"/>
    <cellStyle name="Normal 4 2 4 2 2 7" xfId="2517" xr:uid="{00000000-0005-0000-0000-000052130000}"/>
    <cellStyle name="Normal 4 2 4 2 2 7 2" xfId="6802" xr:uid="{00000000-0005-0000-0000-000053130000}"/>
    <cellStyle name="Normal 4 2 4 2 2 7 2 2" xfId="15231" xr:uid="{558FA4D8-7DC6-4F84-A75A-B8C897001E55}"/>
    <cellStyle name="Normal 4 2 4 2 2 7 2 3" xfId="23659" xr:uid="{7BC400BB-15D5-4EA9-8E53-52C37FA60C40}"/>
    <cellStyle name="Normal 4 2 4 2 2 7 3" xfId="11013" xr:uid="{042E0782-C059-4798-AF16-535D87114E92}"/>
    <cellStyle name="Normal 4 2 4 2 2 7 4" xfId="19442" xr:uid="{D3478F3D-AD3B-41B9-84CB-CCBB19058E98}"/>
    <cellStyle name="Normal 4 2 4 2 2 8" xfId="4737" xr:uid="{00000000-0005-0000-0000-000054130000}"/>
    <cellStyle name="Normal 4 2 4 2 2 8 2" xfId="13166" xr:uid="{0730326E-94FC-4FE4-9E87-E933FE08A86E}"/>
    <cellStyle name="Normal 4 2 4 2 2 8 3" xfId="21594" xr:uid="{5A887631-E5B1-4AED-AA12-FFE6F338E093}"/>
    <cellStyle name="Normal 4 2 4 2 2 9" xfId="8948" xr:uid="{B2600586-223A-4F36-B0D6-FB2F501AFF04}"/>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26" xr:uid="{486EF730-6A63-4F7B-BADC-6DD367000741}"/>
    <cellStyle name="Normal 4 2 4 2 3 2 2 2 3" xfId="24154" xr:uid="{A8E5772B-C8CF-4CCE-A9C4-82866CDF6A5A}"/>
    <cellStyle name="Normal 4 2 4 2 3 2 2 3" xfId="11508" xr:uid="{ED395E1E-9ECB-488E-8C1F-4E516812B82D}"/>
    <cellStyle name="Normal 4 2 4 2 3 2 2 4" xfId="19937" xr:uid="{BA92FB2C-437B-438B-A4A9-147E33AE9743}"/>
    <cellStyle name="Normal 4 2 4 2 3 2 3" xfId="5152" xr:uid="{00000000-0005-0000-0000-000059130000}"/>
    <cellStyle name="Normal 4 2 4 2 3 2 3 2" xfId="13581" xr:uid="{F71B41E7-0C2E-4EBF-93C9-546E8924D305}"/>
    <cellStyle name="Normal 4 2 4 2 3 2 3 3" xfId="22009" xr:uid="{161335DD-5336-4663-9EBB-0350C3A2B153}"/>
    <cellStyle name="Normal 4 2 4 2 3 2 4" xfId="9363" xr:uid="{CB8C8E36-6957-46E7-99EB-7C7D8EC0225D}"/>
    <cellStyle name="Normal 4 2 4 2 3 2 5" xfId="17792" xr:uid="{11AAB86E-02E9-4151-86CD-76E31BA3F907}"/>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9" xr:uid="{E463E92C-F8B7-4EEF-86DD-493946025A53}"/>
    <cellStyle name="Normal 4 2 4 2 3 3 2 2 3" xfId="24567" xr:uid="{7616E7E5-D293-4F12-ABF2-ECB0EE3FEE50}"/>
    <cellStyle name="Normal 4 2 4 2 3 3 2 3" xfId="11921" xr:uid="{0702F8FD-A239-4426-AE96-0C152ACD4139}"/>
    <cellStyle name="Normal 4 2 4 2 3 3 2 4" xfId="20350" xr:uid="{0B233EC9-B9AE-437A-9656-C5B71DB3348B}"/>
    <cellStyle name="Normal 4 2 4 2 3 3 3" xfId="5565" xr:uid="{00000000-0005-0000-0000-00005D130000}"/>
    <cellStyle name="Normal 4 2 4 2 3 3 3 2" xfId="13994" xr:uid="{13FFC0FB-5CC3-4555-A10B-36397655CF3C}"/>
    <cellStyle name="Normal 4 2 4 2 3 3 3 3" xfId="22422" xr:uid="{DF2DC987-C756-49C0-8245-72E9E9967294}"/>
    <cellStyle name="Normal 4 2 4 2 3 3 4" xfId="9776" xr:uid="{CAC5DF71-E90A-46A3-BA74-8C6C3ACAF648}"/>
    <cellStyle name="Normal 4 2 4 2 3 3 5" xfId="18205" xr:uid="{2AB6155F-D56E-4CD5-86DD-8714E3C30A9A}"/>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52" xr:uid="{A6ACEDCE-85E3-4062-BA89-E1350CB1F6EF}"/>
    <cellStyle name="Normal 4 2 4 2 3 4 2 2 3" xfId="24980" xr:uid="{40AA9AE1-878A-45E6-99C1-C357701B74C9}"/>
    <cellStyle name="Normal 4 2 4 2 3 4 2 3" xfId="12334" xr:uid="{90E82A0C-D86C-4779-B8B8-4B30632963D6}"/>
    <cellStyle name="Normal 4 2 4 2 3 4 2 4" xfId="20763" xr:uid="{B2757982-E2E4-4B44-98B4-FFE02F21E365}"/>
    <cellStyle name="Normal 4 2 4 2 3 4 3" xfId="5978" xr:uid="{00000000-0005-0000-0000-000061130000}"/>
    <cellStyle name="Normal 4 2 4 2 3 4 3 2" xfId="14407" xr:uid="{ABADEFD7-3AE6-4BF9-BE82-562A91847D8A}"/>
    <cellStyle name="Normal 4 2 4 2 3 4 3 3" xfId="22835" xr:uid="{DF1B6A07-1EEB-4E30-9B82-E497F7D5A3C0}"/>
    <cellStyle name="Normal 4 2 4 2 3 4 4" xfId="10189" xr:uid="{223AB87A-DC5F-460F-86F0-6F3EF0BEA65E}"/>
    <cellStyle name="Normal 4 2 4 2 3 4 5" xfId="18618" xr:uid="{EEAF484F-6F57-4F45-9EF2-FAC8403E929F}"/>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65" xr:uid="{289F25B9-8AED-4C6C-BCCE-00BDD79BDBB0}"/>
    <cellStyle name="Normal 4 2 4 2 3 5 2 2 3" xfId="25393" xr:uid="{B82028B7-CC45-4B80-9701-EEDBCF223728}"/>
    <cellStyle name="Normal 4 2 4 2 3 5 2 3" xfId="12747" xr:uid="{F5ABB2F5-3587-4B1E-8079-A6F51ECCD404}"/>
    <cellStyle name="Normal 4 2 4 2 3 5 2 4" xfId="21176" xr:uid="{DF17D46C-3882-4387-83F4-44254571693C}"/>
    <cellStyle name="Normal 4 2 4 2 3 5 3" xfId="6391" xr:uid="{00000000-0005-0000-0000-000065130000}"/>
    <cellStyle name="Normal 4 2 4 2 3 5 3 2" xfId="14820" xr:uid="{B90D4C0E-52CD-4853-9479-F6C227E4B9B2}"/>
    <cellStyle name="Normal 4 2 4 2 3 5 3 3" xfId="23248" xr:uid="{E39059F6-72A7-44A5-8F99-5FC85AF93497}"/>
    <cellStyle name="Normal 4 2 4 2 3 5 4" xfId="10602" xr:uid="{3E18DAD1-FE5D-4CAC-97E6-884F4114C08F}"/>
    <cellStyle name="Normal 4 2 4 2 3 5 5" xfId="19031" xr:uid="{0E1A8B7E-7B91-48E8-82FA-33EBAE860582}"/>
    <cellStyle name="Normal 4 2 4 2 3 6" xfId="2519" xr:uid="{00000000-0005-0000-0000-000066130000}"/>
    <cellStyle name="Normal 4 2 4 2 3 6 2" xfId="6804" xr:uid="{00000000-0005-0000-0000-000067130000}"/>
    <cellStyle name="Normal 4 2 4 2 3 6 2 2" xfId="15233" xr:uid="{532AF22F-969A-4F08-81E5-B5124340BD5F}"/>
    <cellStyle name="Normal 4 2 4 2 3 6 2 3" xfId="23661" xr:uid="{1CE77B41-3D33-4795-BD43-EE4F3339B0BD}"/>
    <cellStyle name="Normal 4 2 4 2 3 6 3" xfId="11015" xr:uid="{D2C46ECA-D6A5-450A-8390-992D755BB587}"/>
    <cellStyle name="Normal 4 2 4 2 3 6 4" xfId="19444" xr:uid="{6C72BD0F-94C4-4EEC-A683-0C23081B4501}"/>
    <cellStyle name="Normal 4 2 4 2 3 7" xfId="4739" xr:uid="{00000000-0005-0000-0000-000068130000}"/>
    <cellStyle name="Normal 4 2 4 2 3 7 2" xfId="13168" xr:uid="{0C93149D-6B0E-4BBE-BE52-3CED1A0205C9}"/>
    <cellStyle name="Normal 4 2 4 2 3 7 3" xfId="21596" xr:uid="{9F415CFD-09ED-4A2D-866A-0E59E3CD8C0A}"/>
    <cellStyle name="Normal 4 2 4 2 3 8" xfId="8950" xr:uid="{822E8E94-F057-45C6-88F8-2107EB00C233}"/>
    <cellStyle name="Normal 4 2 4 2 3 9" xfId="17379" xr:uid="{2F7F9935-6EFD-431A-B175-3F53A8F7F95D}"/>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23" xr:uid="{2D6C7272-506A-41A1-B4C1-921BA9BB3521}"/>
    <cellStyle name="Normal 4 2 4 2 4 2 2 3" xfId="24151" xr:uid="{E6EA8442-F1A3-4529-9131-7DE770D86ACA}"/>
    <cellStyle name="Normal 4 2 4 2 4 2 3" xfId="11505" xr:uid="{0FD30943-45FC-4158-8B13-84839D218E3D}"/>
    <cellStyle name="Normal 4 2 4 2 4 2 4" xfId="19934" xr:uid="{5FF48BCD-0689-4C23-BF49-5B8C3F02B7FD}"/>
    <cellStyle name="Normal 4 2 4 2 4 3" xfId="5149" xr:uid="{00000000-0005-0000-0000-00006C130000}"/>
    <cellStyle name="Normal 4 2 4 2 4 3 2" xfId="13578" xr:uid="{74E6ECCC-52D2-44B8-A69F-D5D7A22A9DB8}"/>
    <cellStyle name="Normal 4 2 4 2 4 3 3" xfId="22006" xr:uid="{FE63C260-1477-4860-B0FF-F23C340A08C2}"/>
    <cellStyle name="Normal 4 2 4 2 4 4" xfId="9360" xr:uid="{3617EBED-97F5-4BCE-9551-27A7FF61DB27}"/>
    <cellStyle name="Normal 4 2 4 2 4 5" xfId="17789" xr:uid="{71B730F8-3D93-4414-9947-52D2DB1D3975}"/>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36" xr:uid="{F3DEC93A-1F78-4F69-B299-FECE9FDB0277}"/>
    <cellStyle name="Normal 4 2 4 2 5 2 2 3" xfId="24564" xr:uid="{06347E64-FFE6-4B4D-BD56-27BB49C4F96E}"/>
    <cellStyle name="Normal 4 2 4 2 5 2 3" xfId="11918" xr:uid="{FA13B455-ED66-489F-A822-443BBCE2A874}"/>
    <cellStyle name="Normal 4 2 4 2 5 2 4" xfId="20347" xr:uid="{896C2536-F061-4499-B621-6A5742C5D959}"/>
    <cellStyle name="Normal 4 2 4 2 5 3" xfId="5562" xr:uid="{00000000-0005-0000-0000-000070130000}"/>
    <cellStyle name="Normal 4 2 4 2 5 3 2" xfId="13991" xr:uid="{D9C9FFF3-3C4E-45E1-88D5-5F1805CC3A53}"/>
    <cellStyle name="Normal 4 2 4 2 5 3 3" xfId="22419" xr:uid="{E1062B1C-1B57-4C06-A64B-D1B95B4D66ED}"/>
    <cellStyle name="Normal 4 2 4 2 5 4" xfId="9773" xr:uid="{750E34C7-852F-45D0-BA56-262685880659}"/>
    <cellStyle name="Normal 4 2 4 2 5 5" xfId="18202" xr:uid="{8EC235D7-CD10-45FF-B41A-587F68F4421A}"/>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9" xr:uid="{9DEB5632-4D91-4E5A-9F5C-0FA8E4899C8C}"/>
    <cellStyle name="Normal 4 2 4 2 6 2 2 3" xfId="24977" xr:uid="{16855DD6-0C36-414B-877E-9F7C0FC698C0}"/>
    <cellStyle name="Normal 4 2 4 2 6 2 3" xfId="12331" xr:uid="{B427E595-5AFA-49B0-A5BD-3E2F82CD7ABD}"/>
    <cellStyle name="Normal 4 2 4 2 6 2 4" xfId="20760" xr:uid="{4B7E948D-40FD-476F-87E3-FB3DE8408A78}"/>
    <cellStyle name="Normal 4 2 4 2 6 3" xfId="5975" xr:uid="{00000000-0005-0000-0000-000074130000}"/>
    <cellStyle name="Normal 4 2 4 2 6 3 2" xfId="14404" xr:uid="{232E974D-2DEC-4307-BBE7-E93BB3ED8330}"/>
    <cellStyle name="Normal 4 2 4 2 6 3 3" xfId="22832" xr:uid="{1525F1C7-ED03-4BD9-AE7D-F313509B48E9}"/>
    <cellStyle name="Normal 4 2 4 2 6 4" xfId="10186" xr:uid="{0EB378F9-8219-457A-B692-D118EB37C955}"/>
    <cellStyle name="Normal 4 2 4 2 6 5" xfId="18615" xr:uid="{B94C734B-6564-444C-978A-893587BBD14E}"/>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62" xr:uid="{46712BBA-8DC5-4986-995E-EF271E9B2A22}"/>
    <cellStyle name="Normal 4 2 4 2 7 2 2 3" xfId="25390" xr:uid="{9CEC6C4F-F3F3-4A54-BD59-1F0918307D74}"/>
    <cellStyle name="Normal 4 2 4 2 7 2 3" xfId="12744" xr:uid="{67738D6C-704B-4311-91DF-23F883131C02}"/>
    <cellStyle name="Normal 4 2 4 2 7 2 4" xfId="21173" xr:uid="{BBE1796A-6755-4157-ABD1-C21C8CDCBBAD}"/>
    <cellStyle name="Normal 4 2 4 2 7 3" xfId="6388" xr:uid="{00000000-0005-0000-0000-000078130000}"/>
    <cellStyle name="Normal 4 2 4 2 7 3 2" xfId="14817" xr:uid="{4D1CAE4E-D12B-47DB-908B-9A8D70149ADC}"/>
    <cellStyle name="Normal 4 2 4 2 7 3 3" xfId="23245" xr:uid="{96132D07-7010-496F-9119-FD9F0F0E9DBB}"/>
    <cellStyle name="Normal 4 2 4 2 7 4" xfId="10599" xr:uid="{AD284B91-D54F-4463-A63D-944298D86726}"/>
    <cellStyle name="Normal 4 2 4 2 7 5" xfId="19028" xr:uid="{3902E669-5992-4D02-AB25-7CE1AFDDF30A}"/>
    <cellStyle name="Normal 4 2 4 2 8" xfId="2516" xr:uid="{00000000-0005-0000-0000-000079130000}"/>
    <cellStyle name="Normal 4 2 4 2 8 2" xfId="6801" xr:uid="{00000000-0005-0000-0000-00007A130000}"/>
    <cellStyle name="Normal 4 2 4 2 8 2 2" xfId="15230" xr:uid="{4D96DC37-567C-40DF-A366-F485FD551AFE}"/>
    <cellStyle name="Normal 4 2 4 2 8 2 3" xfId="23658" xr:uid="{39968EA2-AF56-43A1-87E7-38734C2DF75F}"/>
    <cellStyle name="Normal 4 2 4 2 8 3" xfId="11012" xr:uid="{5B76D905-FB06-4067-835C-2213879F136C}"/>
    <cellStyle name="Normal 4 2 4 2 8 4" xfId="19441" xr:uid="{E61721BF-1A26-4D8E-AD44-71C2128809AC}"/>
    <cellStyle name="Normal 4 2 4 2 9" xfId="4736" xr:uid="{00000000-0005-0000-0000-00007B130000}"/>
    <cellStyle name="Normal 4 2 4 2 9 2" xfId="13165" xr:uid="{1247E9B1-D4B1-427B-AADF-EB0DA56CCAE1}"/>
    <cellStyle name="Normal 4 2 4 2 9 3" xfId="21593" xr:uid="{FF0E4788-57E9-4905-8DE7-E90EC6DE8D27}"/>
    <cellStyle name="Normal 4 2 4 3" xfId="360" xr:uid="{00000000-0005-0000-0000-00007C130000}"/>
    <cellStyle name="Normal 4 2 4 3 10" xfId="17380" xr:uid="{A5B30DD6-16E9-4B58-A4FA-06BD4F712291}"/>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8" xr:uid="{3AD0E7F6-5540-4998-B492-EC3F0BE456F0}"/>
    <cellStyle name="Normal 4 2 4 3 2 2 2 2 3" xfId="24156" xr:uid="{88ADD589-6C05-46C5-90B1-8858531102D7}"/>
    <cellStyle name="Normal 4 2 4 3 2 2 2 3" xfId="11510" xr:uid="{1D07217D-69CD-444B-AB42-D211A8BEEA48}"/>
    <cellStyle name="Normal 4 2 4 3 2 2 2 4" xfId="19939" xr:uid="{FE81D757-80BA-447B-8531-1E505B7960B6}"/>
    <cellStyle name="Normal 4 2 4 3 2 2 3" xfId="5154" xr:uid="{00000000-0005-0000-0000-000081130000}"/>
    <cellStyle name="Normal 4 2 4 3 2 2 3 2" xfId="13583" xr:uid="{B443C98B-2A23-45FC-9657-F6BD63EE36CB}"/>
    <cellStyle name="Normal 4 2 4 3 2 2 3 3" xfId="22011" xr:uid="{F660D3BF-9E4C-45C1-889D-1ABFC800AA16}"/>
    <cellStyle name="Normal 4 2 4 3 2 2 4" xfId="9365" xr:uid="{0065860F-B158-4245-BD44-63FA41F83284}"/>
    <cellStyle name="Normal 4 2 4 3 2 2 5" xfId="17794" xr:uid="{D53B43E4-3574-4B69-96A2-5BF1CDEECFFA}"/>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41" xr:uid="{33123C68-AD1B-444F-A408-0292957EE518}"/>
    <cellStyle name="Normal 4 2 4 3 2 3 2 2 3" xfId="24569" xr:uid="{B1169D51-F046-4D27-82A4-F22F11535940}"/>
    <cellStyle name="Normal 4 2 4 3 2 3 2 3" xfId="11923" xr:uid="{381893FC-9A44-4E2C-9AC9-E32446909EE0}"/>
    <cellStyle name="Normal 4 2 4 3 2 3 2 4" xfId="20352" xr:uid="{3EA808BD-8529-4175-BDE5-9428B19519C6}"/>
    <cellStyle name="Normal 4 2 4 3 2 3 3" xfId="5567" xr:uid="{00000000-0005-0000-0000-000085130000}"/>
    <cellStyle name="Normal 4 2 4 3 2 3 3 2" xfId="13996" xr:uid="{C956A692-9919-429C-BFC3-2198ACED2411}"/>
    <cellStyle name="Normal 4 2 4 3 2 3 3 3" xfId="22424" xr:uid="{DA4D6643-4321-4058-9858-699CEE0C8DC2}"/>
    <cellStyle name="Normal 4 2 4 3 2 3 4" xfId="9778" xr:uid="{A94F661D-2542-43C5-8EB4-840A3F327CC2}"/>
    <cellStyle name="Normal 4 2 4 3 2 3 5" xfId="18207" xr:uid="{0DC1642C-0E1C-4D9A-BE01-D051B696DB81}"/>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54" xr:uid="{850CA169-17F4-47A1-9E6C-608F7412FFA3}"/>
    <cellStyle name="Normal 4 2 4 3 2 4 2 2 3" xfId="24982" xr:uid="{DD261E28-FF2A-40A1-B2B8-8C7A92291142}"/>
    <cellStyle name="Normal 4 2 4 3 2 4 2 3" xfId="12336" xr:uid="{D0A9327A-2BE5-4079-B9FA-7DEC8390C0D9}"/>
    <cellStyle name="Normal 4 2 4 3 2 4 2 4" xfId="20765" xr:uid="{3F88B8AD-AD45-4214-87D7-5E57BB30AEB0}"/>
    <cellStyle name="Normal 4 2 4 3 2 4 3" xfId="5980" xr:uid="{00000000-0005-0000-0000-000089130000}"/>
    <cellStyle name="Normal 4 2 4 3 2 4 3 2" xfId="14409" xr:uid="{602EC701-2E2F-42D6-ABB1-F1D73BE3CFDB}"/>
    <cellStyle name="Normal 4 2 4 3 2 4 3 3" xfId="22837" xr:uid="{4E2697CD-7FD7-410A-9C74-B0CB76A3A84A}"/>
    <cellStyle name="Normal 4 2 4 3 2 4 4" xfId="10191" xr:uid="{D498FFA1-B921-4D60-A5C3-D4FE54E38B50}"/>
    <cellStyle name="Normal 4 2 4 3 2 4 5" xfId="18620" xr:uid="{4CAB1306-14BA-4457-B25B-9C1C052ADD34}"/>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7" xr:uid="{15A8F8E8-5BE6-4C6D-85D4-C5717213419E}"/>
    <cellStyle name="Normal 4 2 4 3 2 5 2 2 3" xfId="25395" xr:uid="{69DE0430-4B31-421C-9A80-DF66AEC5190C}"/>
    <cellStyle name="Normal 4 2 4 3 2 5 2 3" xfId="12749" xr:uid="{543D3AC5-7F33-40E7-90BC-3C98EC3B2FA2}"/>
    <cellStyle name="Normal 4 2 4 3 2 5 2 4" xfId="21178" xr:uid="{32A5878D-9DC7-4EC2-90CD-B11915B62C98}"/>
    <cellStyle name="Normal 4 2 4 3 2 5 3" xfId="6393" xr:uid="{00000000-0005-0000-0000-00008D130000}"/>
    <cellStyle name="Normal 4 2 4 3 2 5 3 2" xfId="14822" xr:uid="{B6DB5519-3622-4B36-8BDC-E71365AE6A6B}"/>
    <cellStyle name="Normal 4 2 4 3 2 5 3 3" xfId="23250" xr:uid="{1EE4A254-C7FF-469B-BF2B-A804F00E7E53}"/>
    <cellStyle name="Normal 4 2 4 3 2 5 4" xfId="10604" xr:uid="{63BD2B4D-9F83-4D14-85CD-84D92DC35053}"/>
    <cellStyle name="Normal 4 2 4 3 2 5 5" xfId="19033" xr:uid="{FAED911C-7370-4BAB-A8A7-2AA14D7E04F2}"/>
    <cellStyle name="Normal 4 2 4 3 2 6" xfId="2521" xr:uid="{00000000-0005-0000-0000-00008E130000}"/>
    <cellStyle name="Normal 4 2 4 3 2 6 2" xfId="6806" xr:uid="{00000000-0005-0000-0000-00008F130000}"/>
    <cellStyle name="Normal 4 2 4 3 2 6 2 2" xfId="15235" xr:uid="{A9AAF736-04FF-4615-8F62-FCDB3C470C20}"/>
    <cellStyle name="Normal 4 2 4 3 2 6 2 3" xfId="23663" xr:uid="{932D14E1-8EBB-4366-8FCC-155ACE0CE4F0}"/>
    <cellStyle name="Normal 4 2 4 3 2 6 3" xfId="11017" xr:uid="{E55A94DD-73C0-4DD2-B56B-BE00410924EC}"/>
    <cellStyle name="Normal 4 2 4 3 2 6 4" xfId="19446" xr:uid="{98C9F615-3DB1-45EE-97F9-B35492EA4AE4}"/>
    <cellStyle name="Normal 4 2 4 3 2 7" xfId="4741" xr:uid="{00000000-0005-0000-0000-000090130000}"/>
    <cellStyle name="Normal 4 2 4 3 2 7 2" xfId="13170" xr:uid="{DD7F5E13-4886-4F97-AD9F-85053DA3A549}"/>
    <cellStyle name="Normal 4 2 4 3 2 7 3" xfId="21598" xr:uid="{6F811EF6-75DC-45D0-9D39-964557F92BAF}"/>
    <cellStyle name="Normal 4 2 4 3 2 8" xfId="8952" xr:uid="{976C5ACF-8CF2-4188-9E6E-0F63051975A8}"/>
    <cellStyle name="Normal 4 2 4 3 2 9" xfId="17381" xr:uid="{D70E739B-0BBF-403D-A943-2E5A2B4AF854}"/>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7" xr:uid="{FA86C8C3-A6B5-4199-93A0-7760B9EAEB65}"/>
    <cellStyle name="Normal 4 2 4 3 3 2 2 3" xfId="24155" xr:uid="{0B17761C-F2D8-48F4-A7B6-0DBE46E86283}"/>
    <cellStyle name="Normal 4 2 4 3 3 2 3" xfId="11509" xr:uid="{96CC0DD1-45AF-41A7-9355-B99813DCB0C2}"/>
    <cellStyle name="Normal 4 2 4 3 3 2 4" xfId="19938" xr:uid="{31521B7D-11D4-4C19-843D-0A917B8456DE}"/>
    <cellStyle name="Normal 4 2 4 3 3 3" xfId="5153" xr:uid="{00000000-0005-0000-0000-000094130000}"/>
    <cellStyle name="Normal 4 2 4 3 3 3 2" xfId="13582" xr:uid="{AA5E1CF3-4610-4AE8-BC94-CFB56C17B630}"/>
    <cellStyle name="Normal 4 2 4 3 3 3 3" xfId="22010" xr:uid="{928EFB2D-E32A-43AA-B73A-FAD367DD6BB7}"/>
    <cellStyle name="Normal 4 2 4 3 3 4" xfId="9364" xr:uid="{3DBD4E18-80C1-4898-BD64-B9BD588C361A}"/>
    <cellStyle name="Normal 4 2 4 3 3 5" xfId="17793" xr:uid="{9EE343CC-03BA-410F-9FF1-2B349B741FEA}"/>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40" xr:uid="{A464243C-A61E-45D5-82E7-07E7DE911EB8}"/>
    <cellStyle name="Normal 4 2 4 3 4 2 2 3" xfId="24568" xr:uid="{222348DA-4ADA-405D-AE31-3258651E1CC4}"/>
    <cellStyle name="Normal 4 2 4 3 4 2 3" xfId="11922" xr:uid="{CD50BB4F-6E77-444D-91CD-BD95DAEFDF09}"/>
    <cellStyle name="Normal 4 2 4 3 4 2 4" xfId="20351" xr:uid="{301D6F38-5559-4371-8A39-DB1D87243864}"/>
    <cellStyle name="Normal 4 2 4 3 4 3" xfId="5566" xr:uid="{00000000-0005-0000-0000-000098130000}"/>
    <cellStyle name="Normal 4 2 4 3 4 3 2" xfId="13995" xr:uid="{840B9DA0-F73B-49CD-A787-5DFF453EC23A}"/>
    <cellStyle name="Normal 4 2 4 3 4 3 3" xfId="22423" xr:uid="{0811111F-CD87-4421-9FF0-833EF8A5627B}"/>
    <cellStyle name="Normal 4 2 4 3 4 4" xfId="9777" xr:uid="{85997FFE-6D35-4D7D-BFCA-00595C442AEF}"/>
    <cellStyle name="Normal 4 2 4 3 4 5" xfId="18206" xr:uid="{F3CC8F7C-F824-424A-AB99-C0FE5DC8453B}"/>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53" xr:uid="{F6AB2FCB-25E6-4491-8339-A02DDB90569A}"/>
    <cellStyle name="Normal 4 2 4 3 5 2 2 3" xfId="24981" xr:uid="{EBFD9182-9313-4A0A-B9C1-2CE4B0B3BDE9}"/>
    <cellStyle name="Normal 4 2 4 3 5 2 3" xfId="12335" xr:uid="{1CB7EA83-D2D0-497F-844A-8EE3D7210246}"/>
    <cellStyle name="Normal 4 2 4 3 5 2 4" xfId="20764" xr:uid="{808C682F-4EFA-4E62-9B4D-FDF13A5D4314}"/>
    <cellStyle name="Normal 4 2 4 3 5 3" xfId="5979" xr:uid="{00000000-0005-0000-0000-00009C130000}"/>
    <cellStyle name="Normal 4 2 4 3 5 3 2" xfId="14408" xr:uid="{AF63F183-E905-417C-A46A-6E752844B0E3}"/>
    <cellStyle name="Normal 4 2 4 3 5 3 3" xfId="22836" xr:uid="{61B64629-69C6-4543-A50F-684B46502E95}"/>
    <cellStyle name="Normal 4 2 4 3 5 4" xfId="10190" xr:uid="{D1262420-B2F7-4371-AC24-2180737DBFE0}"/>
    <cellStyle name="Normal 4 2 4 3 5 5" xfId="18619" xr:uid="{16528F40-C347-4E6D-815F-B8DC740DFA89}"/>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66" xr:uid="{8560EDFD-8B47-4F76-A4A9-282A1CDCD994}"/>
    <cellStyle name="Normal 4 2 4 3 6 2 2 3" xfId="25394" xr:uid="{3914D8C1-3FCD-4ED2-91B7-78569709B8E5}"/>
    <cellStyle name="Normal 4 2 4 3 6 2 3" xfId="12748" xr:uid="{38B1881A-F306-4092-A974-C078408B582D}"/>
    <cellStyle name="Normal 4 2 4 3 6 2 4" xfId="21177" xr:uid="{C69E3A19-EDD1-4299-AC5B-DB0747F0F0AB}"/>
    <cellStyle name="Normal 4 2 4 3 6 3" xfId="6392" xr:uid="{00000000-0005-0000-0000-0000A0130000}"/>
    <cellStyle name="Normal 4 2 4 3 6 3 2" xfId="14821" xr:uid="{68A52FF6-88D7-48F3-8120-D523FCAC5791}"/>
    <cellStyle name="Normal 4 2 4 3 6 3 3" xfId="23249" xr:uid="{708E5A60-E473-4082-A992-1BB5BD821F6B}"/>
    <cellStyle name="Normal 4 2 4 3 6 4" xfId="10603" xr:uid="{74030734-B691-4A7B-A1F4-37A1DB3BA1B9}"/>
    <cellStyle name="Normal 4 2 4 3 6 5" xfId="19032" xr:uid="{DB7B4EB0-503C-4106-9008-6A57A8107C09}"/>
    <cellStyle name="Normal 4 2 4 3 7" xfId="2520" xr:uid="{00000000-0005-0000-0000-0000A1130000}"/>
    <cellStyle name="Normal 4 2 4 3 7 2" xfId="6805" xr:uid="{00000000-0005-0000-0000-0000A2130000}"/>
    <cellStyle name="Normal 4 2 4 3 7 2 2" xfId="15234" xr:uid="{0688588A-0666-4D10-9B06-CBE636CB5E02}"/>
    <cellStyle name="Normal 4 2 4 3 7 2 3" xfId="23662" xr:uid="{310FE337-6D3B-43AA-992A-A32A17B29590}"/>
    <cellStyle name="Normal 4 2 4 3 7 3" xfId="11016" xr:uid="{9A811739-277D-4FC2-B3DF-7B28A910D49C}"/>
    <cellStyle name="Normal 4 2 4 3 7 4" xfId="19445" xr:uid="{F0BF45A9-BF84-4B99-AA79-AB69210B8C51}"/>
    <cellStyle name="Normal 4 2 4 3 8" xfId="4740" xr:uid="{00000000-0005-0000-0000-0000A3130000}"/>
    <cellStyle name="Normal 4 2 4 3 8 2" xfId="13169" xr:uid="{96A20B4C-7D25-4F91-826F-4A50C6F83063}"/>
    <cellStyle name="Normal 4 2 4 3 8 3" xfId="21597" xr:uid="{78ABEEC7-4D1E-4F1A-B8FF-7D7018DC270E}"/>
    <cellStyle name="Normal 4 2 4 3 9" xfId="8951" xr:uid="{6EBA7DA4-AE8B-4152-B12D-3228561BBC55}"/>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9" xr:uid="{1E4E24AB-A5CF-4857-9DE8-1AD31450BFBE}"/>
    <cellStyle name="Normal 4 2 4 4 2 2 2 3" xfId="24157" xr:uid="{CAAF9B32-65F9-435A-81F8-BEC12264677A}"/>
    <cellStyle name="Normal 4 2 4 4 2 2 3" xfId="11511" xr:uid="{48DECCA9-5B67-447C-B5B9-42679ED188D5}"/>
    <cellStyle name="Normal 4 2 4 4 2 2 4" xfId="19940" xr:uid="{8DDE38A6-68C0-4805-915E-A1D2DDB2C925}"/>
    <cellStyle name="Normal 4 2 4 4 2 3" xfId="5155" xr:uid="{00000000-0005-0000-0000-0000A8130000}"/>
    <cellStyle name="Normal 4 2 4 4 2 3 2" xfId="13584" xr:uid="{92AA93CC-4FDF-417B-9C6F-8E455E127E59}"/>
    <cellStyle name="Normal 4 2 4 4 2 3 3" xfId="22012" xr:uid="{E60CE993-AC2D-404B-951A-22E6439567A5}"/>
    <cellStyle name="Normal 4 2 4 4 2 4" xfId="9366" xr:uid="{4F8D908A-9E5F-4F36-8631-9EBA3CFBB2B5}"/>
    <cellStyle name="Normal 4 2 4 4 2 5" xfId="17795" xr:uid="{7DACD3B8-509A-48CC-8DE9-C0D54653535B}"/>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42" xr:uid="{A0EF4465-A01C-425E-9BAC-026C63C57D37}"/>
    <cellStyle name="Normal 4 2 4 4 3 2 2 3" xfId="24570" xr:uid="{09E07CC5-3A35-4D68-8810-5E32BA612356}"/>
    <cellStyle name="Normal 4 2 4 4 3 2 3" xfId="11924" xr:uid="{0E52FC73-F3FA-48A5-BD89-78499F8A66C0}"/>
    <cellStyle name="Normal 4 2 4 4 3 2 4" xfId="20353" xr:uid="{73AD77E8-6684-4050-8B56-BD4A28B69FB9}"/>
    <cellStyle name="Normal 4 2 4 4 3 3" xfId="5568" xr:uid="{00000000-0005-0000-0000-0000AC130000}"/>
    <cellStyle name="Normal 4 2 4 4 3 3 2" xfId="13997" xr:uid="{AB6BDAB2-E583-4AEA-9B4E-30B6891644A2}"/>
    <cellStyle name="Normal 4 2 4 4 3 3 3" xfId="22425" xr:uid="{BE403C2B-9E3F-42A0-8C91-6B2306BF1018}"/>
    <cellStyle name="Normal 4 2 4 4 3 4" xfId="9779" xr:uid="{A5995D5A-5CF1-488B-A494-2FD8DEBF457B}"/>
    <cellStyle name="Normal 4 2 4 4 3 5" xfId="18208" xr:uid="{4A10C92F-650F-4E6B-8DC6-BD95964DE794}"/>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55" xr:uid="{6502B3B8-AFE6-4A3F-A7B9-99728CE0D8C2}"/>
    <cellStyle name="Normal 4 2 4 4 4 2 2 3" xfId="24983" xr:uid="{A34ECEA2-0DFC-4780-A418-828E6FAC951B}"/>
    <cellStyle name="Normal 4 2 4 4 4 2 3" xfId="12337" xr:uid="{E148C02F-A535-4F9B-9D3B-0FFA90C12FA4}"/>
    <cellStyle name="Normal 4 2 4 4 4 2 4" xfId="20766" xr:uid="{520493FC-3DA3-46F5-B119-9DE27D690224}"/>
    <cellStyle name="Normal 4 2 4 4 4 3" xfId="5981" xr:uid="{00000000-0005-0000-0000-0000B0130000}"/>
    <cellStyle name="Normal 4 2 4 4 4 3 2" xfId="14410" xr:uid="{90B89117-FC48-46D3-8177-E416598950F8}"/>
    <cellStyle name="Normal 4 2 4 4 4 3 3" xfId="22838" xr:uid="{E28E9C99-9B6F-421F-928A-FF15B997FF40}"/>
    <cellStyle name="Normal 4 2 4 4 4 4" xfId="10192" xr:uid="{A9F7DDC1-0EE9-4A78-BAA4-65CC2955BA47}"/>
    <cellStyle name="Normal 4 2 4 4 4 5" xfId="18621" xr:uid="{E67F8174-948E-42FF-8112-D88E0C6EF0BA}"/>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8" xr:uid="{9F1393B4-2F4E-430F-9AB0-D9495E570C84}"/>
    <cellStyle name="Normal 4 2 4 4 5 2 2 3" xfId="25396" xr:uid="{B5B55A22-EC4B-4F2F-BC6B-2A9BC352AB9A}"/>
    <cellStyle name="Normal 4 2 4 4 5 2 3" xfId="12750" xr:uid="{CEEC6777-AC26-4452-8E49-D34038EC4887}"/>
    <cellStyle name="Normal 4 2 4 4 5 2 4" xfId="21179" xr:uid="{E96A8B99-66BD-4135-B46C-C1FD0FAF06AF}"/>
    <cellStyle name="Normal 4 2 4 4 5 3" xfId="6394" xr:uid="{00000000-0005-0000-0000-0000B4130000}"/>
    <cellStyle name="Normal 4 2 4 4 5 3 2" xfId="14823" xr:uid="{B22C10F6-8956-4C5E-81E9-80AE594F80D8}"/>
    <cellStyle name="Normal 4 2 4 4 5 3 3" xfId="23251" xr:uid="{8C253751-2F66-451F-9BDB-7BB9EBFA7B58}"/>
    <cellStyle name="Normal 4 2 4 4 5 4" xfId="10605" xr:uid="{049EB9E4-26EF-4F74-BC22-32F9A0502088}"/>
    <cellStyle name="Normal 4 2 4 4 5 5" xfId="19034" xr:uid="{3C7D6CDA-35D2-4CE2-8593-0E21C47AD472}"/>
    <cellStyle name="Normal 4 2 4 4 6" xfId="2522" xr:uid="{00000000-0005-0000-0000-0000B5130000}"/>
    <cellStyle name="Normal 4 2 4 4 6 2" xfId="6807" xr:uid="{00000000-0005-0000-0000-0000B6130000}"/>
    <cellStyle name="Normal 4 2 4 4 6 2 2" xfId="15236" xr:uid="{78F9A693-D4E1-434A-97DA-FC3E37B53B2C}"/>
    <cellStyle name="Normal 4 2 4 4 6 2 3" xfId="23664" xr:uid="{9D1F87F0-C10B-480F-AE5D-6509295C9D43}"/>
    <cellStyle name="Normal 4 2 4 4 6 3" xfId="11018" xr:uid="{58958D59-B3FD-4331-9A6C-A985873F7E34}"/>
    <cellStyle name="Normal 4 2 4 4 6 4" xfId="19447" xr:uid="{92731A16-A487-488A-B097-44A3F1B90044}"/>
    <cellStyle name="Normal 4 2 4 4 7" xfId="4742" xr:uid="{00000000-0005-0000-0000-0000B7130000}"/>
    <cellStyle name="Normal 4 2 4 4 7 2" xfId="13171" xr:uid="{42C284C4-A392-4C67-9A87-A3E85F7E73B7}"/>
    <cellStyle name="Normal 4 2 4 4 7 3" xfId="21599" xr:uid="{58061631-3C2D-4789-8D95-050A24F469FD}"/>
    <cellStyle name="Normal 4 2 4 4 8" xfId="8953" xr:uid="{943465DC-8A4F-4E02-A2F4-04706A3D8D6B}"/>
    <cellStyle name="Normal 4 2 4 4 9" xfId="17382" xr:uid="{33DA3D16-EDC8-4766-B643-A7FD4A3EE61E}"/>
    <cellStyle name="Normal 4 2 4 5" xfId="832" xr:uid="{00000000-0005-0000-0000-0000B8130000}"/>
    <cellStyle name="Normal 4 2 4 5 2" xfId="3069" xr:uid="{00000000-0005-0000-0000-0000B9130000}"/>
    <cellStyle name="Normal 4 2 4 5 2 2" xfId="7293" xr:uid="{00000000-0005-0000-0000-0000BA130000}"/>
    <cellStyle name="Normal 4 2 4 5 2 2 2" xfId="15722" xr:uid="{BC9B8FF5-298C-4F47-90FA-2EE0012546CE}"/>
    <cellStyle name="Normal 4 2 4 5 2 2 3" xfId="24150" xr:uid="{C03908AB-D851-4EAE-A801-BDB87291993D}"/>
    <cellStyle name="Normal 4 2 4 5 2 3" xfId="11504" xr:uid="{65298902-9BB1-4B9D-9CE0-09DA46E0017B}"/>
    <cellStyle name="Normal 4 2 4 5 2 4" xfId="19933" xr:uid="{BD7C2760-F1CC-4084-9819-D6BBF2C60FDF}"/>
    <cellStyle name="Normal 4 2 4 5 3" xfId="5148" xr:uid="{00000000-0005-0000-0000-0000BB130000}"/>
    <cellStyle name="Normal 4 2 4 5 3 2" xfId="13577" xr:uid="{BBD730D5-02A3-418B-A1C1-1817AFC16A5C}"/>
    <cellStyle name="Normal 4 2 4 5 3 3" xfId="22005" xr:uid="{31DC923F-6222-4B86-BE74-DA3ACFD109D0}"/>
    <cellStyle name="Normal 4 2 4 5 4" xfId="9359" xr:uid="{4759803B-0CA9-4C78-A3C0-323C9E079119}"/>
    <cellStyle name="Normal 4 2 4 5 5" xfId="17788" xr:uid="{920C6369-C490-4591-B5CE-1287F852CA64}"/>
    <cellStyle name="Normal 4 2 4 6" xfId="1252" xr:uid="{00000000-0005-0000-0000-0000BC130000}"/>
    <cellStyle name="Normal 4 2 4 6 2" xfId="3482" xr:uid="{00000000-0005-0000-0000-0000BD130000}"/>
    <cellStyle name="Normal 4 2 4 6 2 2" xfId="7706" xr:uid="{00000000-0005-0000-0000-0000BE130000}"/>
    <cellStyle name="Normal 4 2 4 6 2 2 2" xfId="16135" xr:uid="{66F6CBE8-29DE-497B-832F-BE88526FDAFF}"/>
    <cellStyle name="Normal 4 2 4 6 2 2 3" xfId="24563" xr:uid="{E2B3FAF2-CABA-4905-85EE-2ED250977FE6}"/>
    <cellStyle name="Normal 4 2 4 6 2 3" xfId="11917" xr:uid="{A035B0B4-FBED-41DF-BCA3-1C60B86BADD9}"/>
    <cellStyle name="Normal 4 2 4 6 2 4" xfId="20346" xr:uid="{B6FD5F51-49C7-451D-A0D9-F36FE721FE65}"/>
    <cellStyle name="Normal 4 2 4 6 3" xfId="5561" xr:uid="{00000000-0005-0000-0000-0000BF130000}"/>
    <cellStyle name="Normal 4 2 4 6 3 2" xfId="13990" xr:uid="{ABC2F944-E64C-428D-99C5-7914ED43D8B1}"/>
    <cellStyle name="Normal 4 2 4 6 3 3" xfId="22418" xr:uid="{70BC426C-7548-4679-BCD3-134195F51C90}"/>
    <cellStyle name="Normal 4 2 4 6 4" xfId="9772" xr:uid="{8A1C5430-9E7B-4B0C-B6C6-A48355683548}"/>
    <cellStyle name="Normal 4 2 4 6 5" xfId="18201" xr:uid="{72808039-34E9-4F3A-9E5F-832CA85740E8}"/>
    <cellStyle name="Normal 4 2 4 7" xfId="1665" xr:uid="{00000000-0005-0000-0000-0000C0130000}"/>
    <cellStyle name="Normal 4 2 4 7 2" xfId="3895" xr:uid="{00000000-0005-0000-0000-0000C1130000}"/>
    <cellStyle name="Normal 4 2 4 7 2 2" xfId="8119" xr:uid="{00000000-0005-0000-0000-0000C2130000}"/>
    <cellStyle name="Normal 4 2 4 7 2 2 2" xfId="16548" xr:uid="{FD35EFDA-B8D7-4585-86B9-D6D6E4E25319}"/>
    <cellStyle name="Normal 4 2 4 7 2 2 3" xfId="24976" xr:uid="{2BF96EF9-EE29-4529-AB3A-F6361984D7E0}"/>
    <cellStyle name="Normal 4 2 4 7 2 3" xfId="12330" xr:uid="{3FD04ED6-3A96-4A82-ACB7-A7BEB162517D}"/>
    <cellStyle name="Normal 4 2 4 7 2 4" xfId="20759" xr:uid="{7EA41C0D-C27F-4228-BB5E-8AD2D2A8418A}"/>
    <cellStyle name="Normal 4 2 4 7 3" xfId="5974" xr:uid="{00000000-0005-0000-0000-0000C3130000}"/>
    <cellStyle name="Normal 4 2 4 7 3 2" xfId="14403" xr:uid="{0F44F5BD-CA4B-4216-9A61-5522698DD8BD}"/>
    <cellStyle name="Normal 4 2 4 7 3 3" xfId="22831" xr:uid="{E10C8012-38D2-4705-83C9-0C9F202F102B}"/>
    <cellStyle name="Normal 4 2 4 7 4" xfId="10185" xr:uid="{844207DC-5FFC-41C7-BF00-4089E3419854}"/>
    <cellStyle name="Normal 4 2 4 7 5" xfId="18614" xr:uid="{B5F801B6-60BA-40D8-930E-FA6BE570BA28}"/>
    <cellStyle name="Normal 4 2 4 8" xfId="2079" xr:uid="{00000000-0005-0000-0000-0000C4130000}"/>
    <cellStyle name="Normal 4 2 4 8 2" xfId="4308" xr:uid="{00000000-0005-0000-0000-0000C5130000}"/>
    <cellStyle name="Normal 4 2 4 8 2 2" xfId="8532" xr:uid="{00000000-0005-0000-0000-0000C6130000}"/>
    <cellStyle name="Normal 4 2 4 8 2 2 2" xfId="16961" xr:uid="{F8E9F4BF-FD67-4979-9F42-F48A506CF179}"/>
    <cellStyle name="Normal 4 2 4 8 2 2 3" xfId="25389" xr:uid="{DB751D7B-F0F3-4E4F-A5C1-B073EEB34931}"/>
    <cellStyle name="Normal 4 2 4 8 2 3" xfId="12743" xr:uid="{DE0D4D7C-099D-4E64-8C30-65FB3E6D5524}"/>
    <cellStyle name="Normal 4 2 4 8 2 4" xfId="21172" xr:uid="{D6604141-F3E5-4EEC-8693-B2917F3BE6F0}"/>
    <cellStyle name="Normal 4 2 4 8 3" xfId="6387" xr:uid="{00000000-0005-0000-0000-0000C7130000}"/>
    <cellStyle name="Normal 4 2 4 8 3 2" xfId="14816" xr:uid="{EA46869B-A506-4013-8F22-EE932BD8E652}"/>
    <cellStyle name="Normal 4 2 4 8 3 3" xfId="23244" xr:uid="{19534520-4E32-413A-B88A-C5E64FC74085}"/>
    <cellStyle name="Normal 4 2 4 8 4" xfId="10598" xr:uid="{93A5E7E3-D623-4D32-8870-0EBE8C13D4FC}"/>
    <cellStyle name="Normal 4 2 4 8 5" xfId="19027" xr:uid="{40EF9286-77AA-46F4-93CC-22AA63B3AC06}"/>
    <cellStyle name="Normal 4 2 4 9" xfId="2515" xr:uid="{00000000-0005-0000-0000-0000C8130000}"/>
    <cellStyle name="Normal 4 2 4 9 2" xfId="6800" xr:uid="{00000000-0005-0000-0000-0000C9130000}"/>
    <cellStyle name="Normal 4 2 4 9 2 2" xfId="15229" xr:uid="{161444D9-4D6F-4703-AF02-9CB29D20A297}"/>
    <cellStyle name="Normal 4 2 4 9 2 3" xfId="23657" xr:uid="{FE6B6BCB-A047-4997-89E7-2FE0899DBC9D}"/>
    <cellStyle name="Normal 4 2 4 9 3" xfId="11011" xr:uid="{F502EC53-F14D-4784-9093-82B925CC0CF6}"/>
    <cellStyle name="Normal 4 2 4 9 4" xfId="19440" xr:uid="{5AA4BADC-521B-4284-84FF-ABDFCC21F1BA}"/>
    <cellStyle name="Normal 4 2 5" xfId="363" xr:uid="{00000000-0005-0000-0000-0000CA130000}"/>
    <cellStyle name="Normal 4 2 5 10" xfId="17383" xr:uid="{FC8655BB-D017-472A-8562-634B42C325E7}"/>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31" xr:uid="{849822D1-A996-4B72-B5CE-04830B3FE61A}"/>
    <cellStyle name="Normal 4 2 5 2 2 2 2 3" xfId="24159" xr:uid="{A25771FE-05C7-47EA-AE25-53E80E632A66}"/>
    <cellStyle name="Normal 4 2 5 2 2 2 3" xfId="11513" xr:uid="{35E71542-D08D-4CE5-B804-697C966A980F}"/>
    <cellStyle name="Normal 4 2 5 2 2 2 4" xfId="19942" xr:uid="{D4B3C39A-A890-45BA-BA71-EC6D01DC62EC}"/>
    <cellStyle name="Normal 4 2 5 2 2 3" xfId="5157" xr:uid="{00000000-0005-0000-0000-0000CF130000}"/>
    <cellStyle name="Normal 4 2 5 2 2 3 2" xfId="13586" xr:uid="{3E3A14CF-F623-4E91-8DB1-478ECE436CE4}"/>
    <cellStyle name="Normal 4 2 5 2 2 3 3" xfId="22014" xr:uid="{65D62358-DEB2-4A50-B92F-7878B71A07CA}"/>
    <cellStyle name="Normal 4 2 5 2 2 4" xfId="9368" xr:uid="{A45050DC-F63A-4FEA-A6F2-5F21BE92419D}"/>
    <cellStyle name="Normal 4 2 5 2 2 5" xfId="17797" xr:uid="{F94B2408-A4CC-4996-8EF9-873EEDC57014}"/>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44" xr:uid="{4657A30D-C91E-4E19-80DF-62AFB963315F}"/>
    <cellStyle name="Normal 4 2 5 2 3 2 2 3" xfId="24572" xr:uid="{221954D3-F061-4B1A-9F7D-005623C07A15}"/>
    <cellStyle name="Normal 4 2 5 2 3 2 3" xfId="11926" xr:uid="{616610BA-EA72-41DE-911F-6BDC4E3FF207}"/>
    <cellStyle name="Normal 4 2 5 2 3 2 4" xfId="20355" xr:uid="{8EEA5596-1EC4-4B7B-A228-D454CB862F87}"/>
    <cellStyle name="Normal 4 2 5 2 3 3" xfId="5570" xr:uid="{00000000-0005-0000-0000-0000D3130000}"/>
    <cellStyle name="Normal 4 2 5 2 3 3 2" xfId="13999" xr:uid="{B3284DE7-7EFD-466A-88AB-C393EC29BC87}"/>
    <cellStyle name="Normal 4 2 5 2 3 3 3" xfId="22427" xr:uid="{4C954F3C-33C8-4487-99A3-F63C513EEC44}"/>
    <cellStyle name="Normal 4 2 5 2 3 4" xfId="9781" xr:uid="{5FBA2E37-D5CB-4BB3-92B7-1ECAB76C842F}"/>
    <cellStyle name="Normal 4 2 5 2 3 5" xfId="18210" xr:uid="{8174205D-E11C-4AC6-9722-707CDF3BD6FD}"/>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7" xr:uid="{39E88F49-E443-494C-B5CC-A9EB32965178}"/>
    <cellStyle name="Normal 4 2 5 2 4 2 2 3" xfId="24985" xr:uid="{A7D6310B-2D8C-4397-BD37-37924AC0AA05}"/>
    <cellStyle name="Normal 4 2 5 2 4 2 3" xfId="12339" xr:uid="{7837F1E6-8791-4B52-B5FF-390B87297271}"/>
    <cellStyle name="Normal 4 2 5 2 4 2 4" xfId="20768" xr:uid="{64CB84E8-CA42-4CA1-BAAA-FD2ADE9079CB}"/>
    <cellStyle name="Normal 4 2 5 2 4 3" xfId="5983" xr:uid="{00000000-0005-0000-0000-0000D7130000}"/>
    <cellStyle name="Normal 4 2 5 2 4 3 2" xfId="14412" xr:uid="{71AAA91C-22F0-47B6-8514-E9E6502472B9}"/>
    <cellStyle name="Normal 4 2 5 2 4 3 3" xfId="22840" xr:uid="{C726D653-C093-49C1-B752-5CED78FA5F40}"/>
    <cellStyle name="Normal 4 2 5 2 4 4" xfId="10194" xr:uid="{7B34DEA7-93E9-4447-A954-19D737B13BB0}"/>
    <cellStyle name="Normal 4 2 5 2 4 5" xfId="18623" xr:uid="{6D95C0F0-9B46-4C34-AB32-ABA7A97AF56E}"/>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70" xr:uid="{30F0F391-237A-40EC-8C97-D109D6048963}"/>
    <cellStyle name="Normal 4 2 5 2 5 2 2 3" xfId="25398" xr:uid="{9E628FFB-558B-4131-985A-4A5754D0EA45}"/>
    <cellStyle name="Normal 4 2 5 2 5 2 3" xfId="12752" xr:uid="{8702364A-C727-43E8-A61F-8C8F615A3E1F}"/>
    <cellStyle name="Normal 4 2 5 2 5 2 4" xfId="21181" xr:uid="{D9F520D9-08EC-4D94-BFEE-9E26A02BD7F2}"/>
    <cellStyle name="Normal 4 2 5 2 5 3" xfId="6396" xr:uid="{00000000-0005-0000-0000-0000DB130000}"/>
    <cellStyle name="Normal 4 2 5 2 5 3 2" xfId="14825" xr:uid="{FFCBF8EE-E1E8-4765-A29C-B1BCDA7F186D}"/>
    <cellStyle name="Normal 4 2 5 2 5 3 3" xfId="23253" xr:uid="{1BBF60D3-FB6A-451E-90AF-9DFC8B6F18EB}"/>
    <cellStyle name="Normal 4 2 5 2 5 4" xfId="10607" xr:uid="{602B2C4B-F058-4DCF-B57E-BB8E5946C066}"/>
    <cellStyle name="Normal 4 2 5 2 5 5" xfId="19036" xr:uid="{3700ABA8-8181-419E-8487-38A126E0F1F0}"/>
    <cellStyle name="Normal 4 2 5 2 6" xfId="2524" xr:uid="{00000000-0005-0000-0000-0000DC130000}"/>
    <cellStyle name="Normal 4 2 5 2 6 2" xfId="6809" xr:uid="{00000000-0005-0000-0000-0000DD130000}"/>
    <cellStyle name="Normal 4 2 5 2 6 2 2" xfId="15238" xr:uid="{724752D9-55B8-4CBA-9206-D4444F4683EA}"/>
    <cellStyle name="Normal 4 2 5 2 6 2 3" xfId="23666" xr:uid="{663FE12A-A342-4C2F-8D18-562992DB61C6}"/>
    <cellStyle name="Normal 4 2 5 2 6 3" xfId="11020" xr:uid="{4081B738-9CC3-4356-95D6-305559CCEC55}"/>
    <cellStyle name="Normal 4 2 5 2 6 4" xfId="19449" xr:uid="{F16FEAAF-40A1-4A87-B67E-375C81101396}"/>
    <cellStyle name="Normal 4 2 5 2 7" xfId="4744" xr:uid="{00000000-0005-0000-0000-0000DE130000}"/>
    <cellStyle name="Normal 4 2 5 2 7 2" xfId="13173" xr:uid="{5E37F637-71BD-4A78-9BD6-B9132618EBAD}"/>
    <cellStyle name="Normal 4 2 5 2 7 3" xfId="21601" xr:uid="{385502FA-4A19-429E-93B3-A9AF1E56417D}"/>
    <cellStyle name="Normal 4 2 5 2 8" xfId="8955" xr:uid="{3AE6647A-CF88-453E-8685-19E6758B3B3E}"/>
    <cellStyle name="Normal 4 2 5 2 9" xfId="17384" xr:uid="{A214F670-AC57-4A55-A51F-1E8D92D7A043}"/>
    <cellStyle name="Normal 4 2 5 3" xfId="840" xr:uid="{00000000-0005-0000-0000-0000DF130000}"/>
    <cellStyle name="Normal 4 2 5 3 2" xfId="3077" xr:uid="{00000000-0005-0000-0000-0000E0130000}"/>
    <cellStyle name="Normal 4 2 5 3 2 2" xfId="7301" xr:uid="{00000000-0005-0000-0000-0000E1130000}"/>
    <cellStyle name="Normal 4 2 5 3 2 2 2" xfId="15730" xr:uid="{09A42163-82AE-4421-8069-D9C21147FB57}"/>
    <cellStyle name="Normal 4 2 5 3 2 2 3" xfId="24158" xr:uid="{062C5E32-ED5A-48D5-AF74-FD260DCBDB05}"/>
    <cellStyle name="Normal 4 2 5 3 2 3" xfId="11512" xr:uid="{FFBD4EBE-6A1C-4034-B281-6F6C313B0D40}"/>
    <cellStyle name="Normal 4 2 5 3 2 4" xfId="19941" xr:uid="{AF572A17-340A-40CD-B9EE-E88D1674E7E0}"/>
    <cellStyle name="Normal 4 2 5 3 3" xfId="5156" xr:uid="{00000000-0005-0000-0000-0000E2130000}"/>
    <cellStyle name="Normal 4 2 5 3 3 2" xfId="13585" xr:uid="{671DAA69-D96F-4529-902B-97A88B1DB7CE}"/>
    <cellStyle name="Normal 4 2 5 3 3 3" xfId="22013" xr:uid="{7A1CD667-F436-49C7-BFB8-EB27A67926F7}"/>
    <cellStyle name="Normal 4 2 5 3 4" xfId="9367" xr:uid="{2AF01F04-77BB-42C4-91D7-CCD590F21656}"/>
    <cellStyle name="Normal 4 2 5 3 5" xfId="17796" xr:uid="{BA650FBC-9765-451D-A6D9-E3090478FC68}"/>
    <cellStyle name="Normal 4 2 5 4" xfId="1260" xr:uid="{00000000-0005-0000-0000-0000E3130000}"/>
    <cellStyle name="Normal 4 2 5 4 2" xfId="3490" xr:uid="{00000000-0005-0000-0000-0000E4130000}"/>
    <cellStyle name="Normal 4 2 5 4 2 2" xfId="7714" xr:uid="{00000000-0005-0000-0000-0000E5130000}"/>
    <cellStyle name="Normal 4 2 5 4 2 2 2" xfId="16143" xr:uid="{A85728E6-CF83-4FB0-B21F-BAF83A195A51}"/>
    <cellStyle name="Normal 4 2 5 4 2 2 3" xfId="24571" xr:uid="{DFB90F55-A307-4ADD-B015-3CF4DA103AF2}"/>
    <cellStyle name="Normal 4 2 5 4 2 3" xfId="11925" xr:uid="{DFCA0D70-63E5-41C6-B0B8-1FC5D504D4D5}"/>
    <cellStyle name="Normal 4 2 5 4 2 4" xfId="20354" xr:uid="{73D402BF-A1F2-488F-B90F-50AD37880DC5}"/>
    <cellStyle name="Normal 4 2 5 4 3" xfId="5569" xr:uid="{00000000-0005-0000-0000-0000E6130000}"/>
    <cellStyle name="Normal 4 2 5 4 3 2" xfId="13998" xr:uid="{C6835BEB-544C-4A5A-A299-BE5E8D7427D7}"/>
    <cellStyle name="Normal 4 2 5 4 3 3" xfId="22426" xr:uid="{09770A07-8A11-4A05-8CEC-8959326F913B}"/>
    <cellStyle name="Normal 4 2 5 4 4" xfId="9780" xr:uid="{6426E155-AC7D-4977-A4AC-165A0CFEE70E}"/>
    <cellStyle name="Normal 4 2 5 4 5" xfId="18209" xr:uid="{740C4257-44A6-47C5-9EBB-FED3E2C4C88B}"/>
    <cellStyle name="Normal 4 2 5 5" xfId="1673" xr:uid="{00000000-0005-0000-0000-0000E7130000}"/>
    <cellStyle name="Normal 4 2 5 5 2" xfId="3903" xr:uid="{00000000-0005-0000-0000-0000E8130000}"/>
    <cellStyle name="Normal 4 2 5 5 2 2" xfId="8127" xr:uid="{00000000-0005-0000-0000-0000E9130000}"/>
    <cellStyle name="Normal 4 2 5 5 2 2 2" xfId="16556" xr:uid="{65F41FCC-F11F-4534-9304-1CCB327C3719}"/>
    <cellStyle name="Normal 4 2 5 5 2 2 3" xfId="24984" xr:uid="{FA07E5D7-B1C8-4CC1-981C-43DD2D15204A}"/>
    <cellStyle name="Normal 4 2 5 5 2 3" xfId="12338" xr:uid="{F90FAAF5-626B-49B1-9B13-D73B99BF5E89}"/>
    <cellStyle name="Normal 4 2 5 5 2 4" xfId="20767" xr:uid="{FAF8A83F-1DD8-4C11-BD55-FD956480CCE0}"/>
    <cellStyle name="Normal 4 2 5 5 3" xfId="5982" xr:uid="{00000000-0005-0000-0000-0000EA130000}"/>
    <cellStyle name="Normal 4 2 5 5 3 2" xfId="14411" xr:uid="{D5F2B6A6-4E1C-4651-ABDC-B6CEDA944E7E}"/>
    <cellStyle name="Normal 4 2 5 5 3 3" xfId="22839" xr:uid="{B54EF744-CB46-43CD-818A-5EC27EDA4A60}"/>
    <cellStyle name="Normal 4 2 5 5 4" xfId="10193" xr:uid="{5B408B5A-B89B-4A73-B86C-ACA18FA3AB3F}"/>
    <cellStyle name="Normal 4 2 5 5 5" xfId="18622" xr:uid="{AEAD62DA-5D41-41EF-83BD-5DFA296AE247}"/>
    <cellStyle name="Normal 4 2 5 6" xfId="2087" xr:uid="{00000000-0005-0000-0000-0000EB130000}"/>
    <cellStyle name="Normal 4 2 5 6 2" xfId="4316" xr:uid="{00000000-0005-0000-0000-0000EC130000}"/>
    <cellStyle name="Normal 4 2 5 6 2 2" xfId="8540" xr:uid="{00000000-0005-0000-0000-0000ED130000}"/>
    <cellStyle name="Normal 4 2 5 6 2 2 2" xfId="16969" xr:uid="{77644563-23EB-4B6C-AE1C-730CF9110BC9}"/>
    <cellStyle name="Normal 4 2 5 6 2 2 3" xfId="25397" xr:uid="{3399B8B0-6554-4F5E-AE8C-07C50684EE51}"/>
    <cellStyle name="Normal 4 2 5 6 2 3" xfId="12751" xr:uid="{ECF1E573-69C4-4CE0-B3DF-60245EECA895}"/>
    <cellStyle name="Normal 4 2 5 6 2 4" xfId="21180" xr:uid="{FECBC413-FFFB-448B-A7C1-504F43737120}"/>
    <cellStyle name="Normal 4 2 5 6 3" xfId="6395" xr:uid="{00000000-0005-0000-0000-0000EE130000}"/>
    <cellStyle name="Normal 4 2 5 6 3 2" xfId="14824" xr:uid="{261DAC67-99D9-45AE-BEFC-872F677F6E42}"/>
    <cellStyle name="Normal 4 2 5 6 3 3" xfId="23252" xr:uid="{553B56D7-9D75-4040-A481-22BA848FC1F5}"/>
    <cellStyle name="Normal 4 2 5 6 4" xfId="10606" xr:uid="{994905AF-ED85-444D-9E3F-8C4CA257670F}"/>
    <cellStyle name="Normal 4 2 5 6 5" xfId="19035" xr:uid="{92D9DD47-A823-46CD-8CF5-9D3188EFC00D}"/>
    <cellStyle name="Normal 4 2 5 7" xfId="2523" xr:uid="{00000000-0005-0000-0000-0000EF130000}"/>
    <cellStyle name="Normal 4 2 5 7 2" xfId="6808" xr:uid="{00000000-0005-0000-0000-0000F0130000}"/>
    <cellStyle name="Normal 4 2 5 7 2 2" xfId="15237" xr:uid="{E731E940-CB52-4814-BEAC-5C990AC82C23}"/>
    <cellStyle name="Normal 4 2 5 7 2 3" xfId="23665" xr:uid="{25428207-A095-4DD4-BD7E-11316142AA0C}"/>
    <cellStyle name="Normal 4 2 5 7 3" xfId="11019" xr:uid="{7671450D-A36A-4E25-ACD4-4B3D00DF0F76}"/>
    <cellStyle name="Normal 4 2 5 7 4" xfId="19448" xr:uid="{D0781D10-4239-4E4E-A062-844976B92324}"/>
    <cellStyle name="Normal 4 2 5 8" xfId="4743" xr:uid="{00000000-0005-0000-0000-0000F1130000}"/>
    <cellStyle name="Normal 4 2 5 8 2" xfId="13172" xr:uid="{79152566-2118-4431-9DD6-9C3B3CCEE879}"/>
    <cellStyle name="Normal 4 2 5 8 3" xfId="21600" xr:uid="{121394BE-FC5F-419D-A74A-18FB27F9C82D}"/>
    <cellStyle name="Normal 4 2 5 9" xfId="8954" xr:uid="{70543146-E378-418D-98F6-F4494B269AD4}"/>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32" xr:uid="{51BBF3B9-C623-45CE-B3EA-EAA596464999}"/>
    <cellStyle name="Normal 4 2 6 2 2 2 3" xfId="24160" xr:uid="{CFFB73A4-8056-4ED4-8C34-BD6697A278C8}"/>
    <cellStyle name="Normal 4 2 6 2 2 3" xfId="11514" xr:uid="{7761F6D2-8717-46BE-92BD-3D55D4361CEC}"/>
    <cellStyle name="Normal 4 2 6 2 2 4" xfId="19943" xr:uid="{FB7178D2-0210-4AF6-A6A7-B76D261D6A1C}"/>
    <cellStyle name="Normal 4 2 6 2 3" xfId="5158" xr:uid="{00000000-0005-0000-0000-0000F6130000}"/>
    <cellStyle name="Normal 4 2 6 2 3 2" xfId="13587" xr:uid="{5DEFB1E7-869D-4B58-9DA3-0EB9A0EC07D1}"/>
    <cellStyle name="Normal 4 2 6 2 3 3" xfId="22015" xr:uid="{958A2BB7-FD9A-4C8B-9154-E8C9E2C92FF2}"/>
    <cellStyle name="Normal 4 2 6 2 4" xfId="9369" xr:uid="{29921D1F-317F-41E5-9B43-51066D44F037}"/>
    <cellStyle name="Normal 4 2 6 2 5" xfId="17798" xr:uid="{C85D4964-88EB-4DFF-ACA7-05714D8ECD43}"/>
    <cellStyle name="Normal 4 2 6 3" xfId="1262" xr:uid="{00000000-0005-0000-0000-0000F7130000}"/>
    <cellStyle name="Normal 4 2 6 3 2" xfId="3492" xr:uid="{00000000-0005-0000-0000-0000F8130000}"/>
    <cellStyle name="Normal 4 2 6 3 2 2" xfId="7716" xr:uid="{00000000-0005-0000-0000-0000F9130000}"/>
    <cellStyle name="Normal 4 2 6 3 2 2 2" xfId="16145" xr:uid="{296EE7A3-43F2-41F5-886E-185B3F2C4F17}"/>
    <cellStyle name="Normal 4 2 6 3 2 2 3" xfId="24573" xr:uid="{4B03EE82-31F3-48F6-8CF2-76BE9FEE98BC}"/>
    <cellStyle name="Normal 4 2 6 3 2 3" xfId="11927" xr:uid="{4C2F5820-11FA-4EC5-B54D-E541CA1D1160}"/>
    <cellStyle name="Normal 4 2 6 3 2 4" xfId="20356" xr:uid="{9FD349AA-FD1D-4080-AE43-5B4CE3DB1A36}"/>
    <cellStyle name="Normal 4 2 6 3 3" xfId="5571" xr:uid="{00000000-0005-0000-0000-0000FA130000}"/>
    <cellStyle name="Normal 4 2 6 3 3 2" xfId="14000" xr:uid="{C1DCE6D6-E260-492D-B3EB-EE57784E87D5}"/>
    <cellStyle name="Normal 4 2 6 3 3 3" xfId="22428" xr:uid="{4F3C90BB-CAE0-4D32-8C0F-E54271A82AD1}"/>
    <cellStyle name="Normal 4 2 6 3 4" xfId="9782" xr:uid="{680A6379-FAC4-43AE-8A4D-5FB3B41E9B05}"/>
    <cellStyle name="Normal 4 2 6 3 5" xfId="18211" xr:uid="{1E3597CF-4241-456F-A9DC-214592BF329A}"/>
    <cellStyle name="Normal 4 2 6 4" xfId="1675" xr:uid="{00000000-0005-0000-0000-0000FB130000}"/>
    <cellStyle name="Normal 4 2 6 4 2" xfId="3905" xr:uid="{00000000-0005-0000-0000-0000FC130000}"/>
    <cellStyle name="Normal 4 2 6 4 2 2" xfId="8129" xr:uid="{00000000-0005-0000-0000-0000FD130000}"/>
    <cellStyle name="Normal 4 2 6 4 2 2 2" xfId="16558" xr:uid="{F3AFBBA7-70E5-4EDB-939F-D7C5ABDE92CC}"/>
    <cellStyle name="Normal 4 2 6 4 2 2 3" xfId="24986" xr:uid="{F547132E-0085-4E7D-BA54-5EADBEA10842}"/>
    <cellStyle name="Normal 4 2 6 4 2 3" xfId="12340" xr:uid="{FC45021F-3E93-42B4-9561-26E082F6034F}"/>
    <cellStyle name="Normal 4 2 6 4 2 4" xfId="20769" xr:uid="{14E488CD-1D52-4063-A094-CAE750DAF805}"/>
    <cellStyle name="Normal 4 2 6 4 3" xfId="5984" xr:uid="{00000000-0005-0000-0000-0000FE130000}"/>
    <cellStyle name="Normal 4 2 6 4 3 2" xfId="14413" xr:uid="{463C21FB-2126-4694-B211-1BA8F19B81EF}"/>
    <cellStyle name="Normal 4 2 6 4 3 3" xfId="22841" xr:uid="{FD887EC2-4EC3-4CF6-B007-EE232323D5C5}"/>
    <cellStyle name="Normal 4 2 6 4 4" xfId="10195" xr:uid="{04EF6DB6-5A65-4DF3-BA0A-695DEEE3A787}"/>
    <cellStyle name="Normal 4 2 6 4 5" xfId="18624" xr:uid="{F85FA849-FB5C-44A9-8C7E-7C589FE8B3EB}"/>
    <cellStyle name="Normal 4 2 6 5" xfId="2089" xr:uid="{00000000-0005-0000-0000-0000FF130000}"/>
    <cellStyle name="Normal 4 2 6 5 2" xfId="4318" xr:uid="{00000000-0005-0000-0000-000000140000}"/>
    <cellStyle name="Normal 4 2 6 5 2 2" xfId="8542" xr:uid="{00000000-0005-0000-0000-000001140000}"/>
    <cellStyle name="Normal 4 2 6 5 2 2 2" xfId="16971" xr:uid="{14AE9544-3B60-435B-AFD7-5650C23DEFF0}"/>
    <cellStyle name="Normal 4 2 6 5 2 2 3" xfId="25399" xr:uid="{743EBFAE-7BEC-42A5-A550-2ADB65432FD6}"/>
    <cellStyle name="Normal 4 2 6 5 2 3" xfId="12753" xr:uid="{C3B5EAC1-7DB8-407E-92D0-EA5EC7C7E850}"/>
    <cellStyle name="Normal 4 2 6 5 2 4" xfId="21182" xr:uid="{1D6FCA9F-DBBE-4EB9-AF3C-496DF5729288}"/>
    <cellStyle name="Normal 4 2 6 5 3" xfId="6397" xr:uid="{00000000-0005-0000-0000-000002140000}"/>
    <cellStyle name="Normal 4 2 6 5 3 2" xfId="14826" xr:uid="{2940B740-7673-40B8-80C6-71E0E7903D2D}"/>
    <cellStyle name="Normal 4 2 6 5 3 3" xfId="23254" xr:uid="{F9928942-8405-4194-8007-8F1DA72422A3}"/>
    <cellStyle name="Normal 4 2 6 5 4" xfId="10608" xr:uid="{4C4E20F8-644E-4564-BBBA-248D5DDC192F}"/>
    <cellStyle name="Normal 4 2 6 5 5" xfId="19037" xr:uid="{1FC10B3E-1A59-4202-9B45-2E43DA2BD31F}"/>
    <cellStyle name="Normal 4 2 6 6" xfId="2525" xr:uid="{00000000-0005-0000-0000-000003140000}"/>
    <cellStyle name="Normal 4 2 6 6 2" xfId="6810" xr:uid="{00000000-0005-0000-0000-000004140000}"/>
    <cellStyle name="Normal 4 2 6 6 2 2" xfId="15239" xr:uid="{C5332990-22BF-436E-B118-8B3E7BF570CC}"/>
    <cellStyle name="Normal 4 2 6 6 2 3" xfId="23667" xr:uid="{ADCDA763-B449-48DD-B2B0-E572EC68B67A}"/>
    <cellStyle name="Normal 4 2 6 6 3" xfId="11021" xr:uid="{19A41591-A0BA-4688-B833-2694ADD57765}"/>
    <cellStyle name="Normal 4 2 6 6 4" xfId="19450" xr:uid="{03DAE10A-1383-4E93-9971-D1629233B291}"/>
    <cellStyle name="Normal 4 2 6 7" xfId="4745" xr:uid="{00000000-0005-0000-0000-000005140000}"/>
    <cellStyle name="Normal 4 2 6 7 2" xfId="13174" xr:uid="{1C982338-4EC4-4BC6-B548-46D95536706C}"/>
    <cellStyle name="Normal 4 2 6 7 3" xfId="21602" xr:uid="{57AA4175-B437-4470-8813-7A5FC8F4F6A8}"/>
    <cellStyle name="Normal 4 2 6 8" xfId="8956" xr:uid="{0136C083-C4FB-4527-B6F3-DA35B063F614}"/>
    <cellStyle name="Normal 4 2 6 9" xfId="17385" xr:uid="{BE6E2A8E-3C39-44C1-B74E-02C1F62DF448}"/>
    <cellStyle name="Normal 4 3" xfId="366" xr:uid="{00000000-0005-0000-0000-000006140000}"/>
    <cellStyle name="Normal 4 3 10" xfId="8957" xr:uid="{85F9BD9C-39D3-4B9B-B27C-E769704D0691}"/>
    <cellStyle name="Normal 4 3 11" xfId="17386" xr:uid="{A8311B32-DD7D-4DF5-920E-01C320579AAF}"/>
    <cellStyle name="Normal 4 3 2" xfId="367" xr:uid="{00000000-0005-0000-0000-000007140000}"/>
    <cellStyle name="Normal 4 3 2 2" xfId="368" xr:uid="{00000000-0005-0000-0000-000008140000}"/>
    <cellStyle name="Normal 4 3 2 2 2" xfId="369" xr:uid="{00000000-0005-0000-0000-000009140000}"/>
    <cellStyle name="Normal 4 3 2 2 2 10" xfId="8958" xr:uid="{DD21E3BD-23EA-46DC-8BA6-6653B528785F}"/>
    <cellStyle name="Normal 4 3 2 2 2 11" xfId="17387" xr:uid="{19451E8C-52D6-4DBC-9B02-C3AF7506AF37}"/>
    <cellStyle name="Normal 4 3 2 2 2 2" xfId="370" xr:uid="{00000000-0005-0000-0000-00000A140000}"/>
    <cellStyle name="Normal 4 3 2 2 2 2 10" xfId="17388" xr:uid="{5D5B109C-77F9-48F4-AB99-A388C5BC951D}"/>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36" xr:uid="{19B61C87-34C0-43F2-9F0A-3ECF60EC21CE}"/>
    <cellStyle name="Normal 4 3 2 2 2 2 2 2 2 2 3" xfId="24164" xr:uid="{477EF62D-CFC1-4231-86A5-05EB7EF98DEE}"/>
    <cellStyle name="Normal 4 3 2 2 2 2 2 2 2 3" xfId="11518" xr:uid="{D1593D3E-BD7D-443A-B317-E5983C622AAE}"/>
    <cellStyle name="Normal 4 3 2 2 2 2 2 2 2 4" xfId="19947" xr:uid="{D994743E-83BC-4099-99E1-B6FB6221B43F}"/>
    <cellStyle name="Normal 4 3 2 2 2 2 2 2 3" xfId="5162" xr:uid="{00000000-0005-0000-0000-00000F140000}"/>
    <cellStyle name="Normal 4 3 2 2 2 2 2 2 3 2" xfId="13591" xr:uid="{75293C27-9003-4381-93EB-83C11E635EC2}"/>
    <cellStyle name="Normal 4 3 2 2 2 2 2 2 3 3" xfId="22019" xr:uid="{49DCC956-6A3B-4525-89EB-DFFF227ED7AA}"/>
    <cellStyle name="Normal 4 3 2 2 2 2 2 2 4" xfId="9373" xr:uid="{E76E2987-17D6-4527-8820-ACA7A532111A}"/>
    <cellStyle name="Normal 4 3 2 2 2 2 2 2 5" xfId="17802" xr:uid="{C926E28F-D118-40BB-843D-908FE8E3C1CF}"/>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9" xr:uid="{9DB74B72-37A2-44DB-9E1C-820216E52488}"/>
    <cellStyle name="Normal 4 3 2 2 2 2 2 3 2 2 3" xfId="24577" xr:uid="{2F9B382F-F2AC-4B05-8F0F-524C1B5DACB2}"/>
    <cellStyle name="Normal 4 3 2 2 2 2 2 3 2 3" xfId="11931" xr:uid="{A6C1B2D1-D624-468A-8845-355BE0AB9510}"/>
    <cellStyle name="Normal 4 3 2 2 2 2 2 3 2 4" xfId="20360" xr:uid="{0B530AD0-D38B-469A-98B6-C16E3F0C037E}"/>
    <cellStyle name="Normal 4 3 2 2 2 2 2 3 3" xfId="5575" xr:uid="{00000000-0005-0000-0000-000013140000}"/>
    <cellStyle name="Normal 4 3 2 2 2 2 2 3 3 2" xfId="14004" xr:uid="{7FB7B752-AB80-4DA7-92F9-1057FD559F9B}"/>
    <cellStyle name="Normal 4 3 2 2 2 2 2 3 3 3" xfId="22432" xr:uid="{B01D0D76-A476-460E-AE5D-17730BA8040F}"/>
    <cellStyle name="Normal 4 3 2 2 2 2 2 3 4" xfId="9786" xr:uid="{DCA105B9-A267-4DAB-9B72-2EB722997611}"/>
    <cellStyle name="Normal 4 3 2 2 2 2 2 3 5" xfId="18215" xr:uid="{7C42F1A7-F795-489A-BCC9-6F1FD8692B4E}"/>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62" xr:uid="{B11B0BDB-0E3D-4D15-92F5-DB50BC7AB336}"/>
    <cellStyle name="Normal 4 3 2 2 2 2 2 4 2 2 3" xfId="24990" xr:uid="{3236E1F9-613B-49F0-8BD5-13FD5E343522}"/>
    <cellStyle name="Normal 4 3 2 2 2 2 2 4 2 3" xfId="12344" xr:uid="{EC5341EB-9172-45C6-B472-B541A4C5387A}"/>
    <cellStyle name="Normal 4 3 2 2 2 2 2 4 2 4" xfId="20773" xr:uid="{F1696BE5-8A4A-46CA-9394-4E54B93555D1}"/>
    <cellStyle name="Normal 4 3 2 2 2 2 2 4 3" xfId="5988" xr:uid="{00000000-0005-0000-0000-000017140000}"/>
    <cellStyle name="Normal 4 3 2 2 2 2 2 4 3 2" xfId="14417" xr:uid="{EED809DA-19BF-4470-A3DD-DB9D3ECEBB42}"/>
    <cellStyle name="Normal 4 3 2 2 2 2 2 4 3 3" xfId="22845" xr:uid="{8F96EB43-A706-4551-A6D4-91200CE42E5B}"/>
    <cellStyle name="Normal 4 3 2 2 2 2 2 4 4" xfId="10199" xr:uid="{21885F47-483F-497C-9D6C-0AEAA4FFA710}"/>
    <cellStyle name="Normal 4 3 2 2 2 2 2 4 5" xfId="18628" xr:uid="{6A5A6811-27A5-42C4-A61F-8F766FA0F7F8}"/>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75" xr:uid="{9AD3171F-1A4B-4B71-8A4B-C76E7B21F0FA}"/>
    <cellStyle name="Normal 4 3 2 2 2 2 2 5 2 2 3" xfId="25403" xr:uid="{F28E3724-CEEB-458D-9109-F63EB223AC6A}"/>
    <cellStyle name="Normal 4 3 2 2 2 2 2 5 2 3" xfId="12757" xr:uid="{197B38B1-A1EA-454D-A5C9-FA1A3C2363F1}"/>
    <cellStyle name="Normal 4 3 2 2 2 2 2 5 2 4" xfId="21186" xr:uid="{C818FDAB-5FC8-44CD-835D-082CCEEB6354}"/>
    <cellStyle name="Normal 4 3 2 2 2 2 2 5 3" xfId="6401" xr:uid="{00000000-0005-0000-0000-00001B140000}"/>
    <cellStyle name="Normal 4 3 2 2 2 2 2 5 3 2" xfId="14830" xr:uid="{0DA8845D-5543-4810-A9D4-4D809691124D}"/>
    <cellStyle name="Normal 4 3 2 2 2 2 2 5 3 3" xfId="23258" xr:uid="{5796EA60-B5B3-4C20-ADEF-8E6C3B94410C}"/>
    <cellStyle name="Normal 4 3 2 2 2 2 2 5 4" xfId="10612" xr:uid="{587DF1BB-D31E-4C87-9AF2-9A968B68C4B6}"/>
    <cellStyle name="Normal 4 3 2 2 2 2 2 5 5" xfId="19041" xr:uid="{ECD321FF-4F9F-424A-A882-FE35E7DAEF13}"/>
    <cellStyle name="Normal 4 3 2 2 2 2 2 6" xfId="2529" xr:uid="{00000000-0005-0000-0000-00001C140000}"/>
    <cellStyle name="Normal 4 3 2 2 2 2 2 6 2" xfId="6814" xr:uid="{00000000-0005-0000-0000-00001D140000}"/>
    <cellStyle name="Normal 4 3 2 2 2 2 2 6 2 2" xfId="15243" xr:uid="{69749EDB-71E6-4580-8027-4295B2882601}"/>
    <cellStyle name="Normal 4 3 2 2 2 2 2 6 2 3" xfId="23671" xr:uid="{963FFFAA-DA4E-4CFD-A437-0465961BB235}"/>
    <cellStyle name="Normal 4 3 2 2 2 2 2 6 3" xfId="11025" xr:uid="{47828968-4849-4F17-8509-A3657B3A9582}"/>
    <cellStyle name="Normal 4 3 2 2 2 2 2 6 4" xfId="19454" xr:uid="{1F52A150-8838-4D14-9BBC-5CCB091DF416}"/>
    <cellStyle name="Normal 4 3 2 2 2 2 2 7" xfId="4749" xr:uid="{00000000-0005-0000-0000-00001E140000}"/>
    <cellStyle name="Normal 4 3 2 2 2 2 2 7 2" xfId="13178" xr:uid="{BF5519A7-3374-4B5D-B082-7D53762653E1}"/>
    <cellStyle name="Normal 4 3 2 2 2 2 2 7 3" xfId="21606" xr:uid="{ED09A93F-8959-4773-9073-CB0EF85C8E14}"/>
    <cellStyle name="Normal 4 3 2 2 2 2 2 8" xfId="8960" xr:uid="{2DB841B4-E60C-4F1C-9854-81F7E6904E64}"/>
    <cellStyle name="Normal 4 3 2 2 2 2 2 9" xfId="17389" xr:uid="{F10B71D2-4EE6-4992-917A-5C2DDD0B4C96}"/>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35" xr:uid="{452D6471-7F20-404D-B1B1-F0D8D973BCC6}"/>
    <cellStyle name="Normal 4 3 2 2 2 2 3 2 2 3" xfId="24163" xr:uid="{642D386E-7984-406C-B7CA-1BF6DB43B117}"/>
    <cellStyle name="Normal 4 3 2 2 2 2 3 2 3" xfId="11517" xr:uid="{F7FFF300-F7A4-4E2E-9B93-74E0E1DE51BE}"/>
    <cellStyle name="Normal 4 3 2 2 2 2 3 2 4" xfId="19946" xr:uid="{6054B7D4-4CF8-4F1A-82B4-5D6E0AE30E5C}"/>
    <cellStyle name="Normal 4 3 2 2 2 2 3 3" xfId="5161" xr:uid="{00000000-0005-0000-0000-000022140000}"/>
    <cellStyle name="Normal 4 3 2 2 2 2 3 3 2" xfId="13590" xr:uid="{474349E7-911D-4894-AFDC-B626731B0A13}"/>
    <cellStyle name="Normal 4 3 2 2 2 2 3 3 3" xfId="22018" xr:uid="{A9398030-2450-4B32-901E-B086834C6C39}"/>
    <cellStyle name="Normal 4 3 2 2 2 2 3 4" xfId="9372" xr:uid="{60322C9C-C246-4085-9056-DCC298CA5E2C}"/>
    <cellStyle name="Normal 4 3 2 2 2 2 3 5" xfId="17801" xr:uid="{ECB2DEF6-A341-4FEC-9A06-D2E98449C394}"/>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8" xr:uid="{198370CB-85DE-44C4-91CF-15E047D6F0D9}"/>
    <cellStyle name="Normal 4 3 2 2 2 2 4 2 2 3" xfId="24576" xr:uid="{ACE5D396-4E1A-40D5-9D4D-A6162C85CAB6}"/>
    <cellStyle name="Normal 4 3 2 2 2 2 4 2 3" xfId="11930" xr:uid="{8E83FB14-C558-417F-9AF8-5181F5F63243}"/>
    <cellStyle name="Normal 4 3 2 2 2 2 4 2 4" xfId="20359" xr:uid="{87EBD20D-A028-4977-B0F7-C3802E192105}"/>
    <cellStyle name="Normal 4 3 2 2 2 2 4 3" xfId="5574" xr:uid="{00000000-0005-0000-0000-000026140000}"/>
    <cellStyle name="Normal 4 3 2 2 2 2 4 3 2" xfId="14003" xr:uid="{36B955A8-8437-4F4C-88F1-A16BD081138F}"/>
    <cellStyle name="Normal 4 3 2 2 2 2 4 3 3" xfId="22431" xr:uid="{3501C687-2EA0-4D66-800B-31E47A977B6D}"/>
    <cellStyle name="Normal 4 3 2 2 2 2 4 4" xfId="9785" xr:uid="{08F7E266-8732-4B28-BADE-BC73DC957E4D}"/>
    <cellStyle name="Normal 4 3 2 2 2 2 4 5" xfId="18214" xr:uid="{B85486C5-F234-4056-A6DF-AA8A3C239912}"/>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61" xr:uid="{74FD0D3F-F62F-44E3-B3FF-D02563D9639A}"/>
    <cellStyle name="Normal 4 3 2 2 2 2 5 2 2 3" xfId="24989" xr:uid="{18E6550A-5FA4-46D4-971B-D2C57D4B439F}"/>
    <cellStyle name="Normal 4 3 2 2 2 2 5 2 3" xfId="12343" xr:uid="{E7766FF7-5F25-4F8E-885F-04482135D350}"/>
    <cellStyle name="Normal 4 3 2 2 2 2 5 2 4" xfId="20772" xr:uid="{7F7A5A69-1BDA-4A19-A1A3-C16483084E19}"/>
    <cellStyle name="Normal 4 3 2 2 2 2 5 3" xfId="5987" xr:uid="{00000000-0005-0000-0000-00002A140000}"/>
    <cellStyle name="Normal 4 3 2 2 2 2 5 3 2" xfId="14416" xr:uid="{7D4E8BC8-5762-4535-9C8F-58AF1C9ED7A8}"/>
    <cellStyle name="Normal 4 3 2 2 2 2 5 3 3" xfId="22844" xr:uid="{7D0DD6B6-479F-42BA-8FD0-FB0647D7253B}"/>
    <cellStyle name="Normal 4 3 2 2 2 2 5 4" xfId="10198" xr:uid="{F9524240-850F-4802-B50E-A66312763E27}"/>
    <cellStyle name="Normal 4 3 2 2 2 2 5 5" xfId="18627" xr:uid="{F21DC1DB-021B-496C-8DC6-1046818BD1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74" xr:uid="{2BA4DF7D-99C0-4A54-AE4E-8C127951B647}"/>
    <cellStyle name="Normal 4 3 2 2 2 2 6 2 2 3" xfId="25402" xr:uid="{26C32661-EBCC-4400-89FF-07DB46B7A6E4}"/>
    <cellStyle name="Normal 4 3 2 2 2 2 6 2 3" xfId="12756" xr:uid="{321FA524-4175-4DBC-8708-6E1D19723058}"/>
    <cellStyle name="Normal 4 3 2 2 2 2 6 2 4" xfId="21185" xr:uid="{80CCB38B-1A92-487C-8B98-B0A46A8BF26D}"/>
    <cellStyle name="Normal 4 3 2 2 2 2 6 3" xfId="6400" xr:uid="{00000000-0005-0000-0000-00002E140000}"/>
    <cellStyle name="Normal 4 3 2 2 2 2 6 3 2" xfId="14829" xr:uid="{BAFCA4B1-1362-4554-BDF9-86C332D8A2B2}"/>
    <cellStyle name="Normal 4 3 2 2 2 2 6 3 3" xfId="23257" xr:uid="{E84ED06E-C4F2-411A-A10D-1FED42AAD46B}"/>
    <cellStyle name="Normal 4 3 2 2 2 2 6 4" xfId="10611" xr:uid="{0C98F97E-5B39-4964-94AE-7D9102745D1A}"/>
    <cellStyle name="Normal 4 3 2 2 2 2 6 5" xfId="19040" xr:uid="{160E637C-9C43-42A0-B874-79CA4B756433}"/>
    <cellStyle name="Normal 4 3 2 2 2 2 7" xfId="2528" xr:uid="{00000000-0005-0000-0000-00002F140000}"/>
    <cellStyle name="Normal 4 3 2 2 2 2 7 2" xfId="6813" xr:uid="{00000000-0005-0000-0000-000030140000}"/>
    <cellStyle name="Normal 4 3 2 2 2 2 7 2 2" xfId="15242" xr:uid="{BDF51DFF-8779-4A52-8493-139CA834C294}"/>
    <cellStyle name="Normal 4 3 2 2 2 2 7 2 3" xfId="23670" xr:uid="{DC8E1935-FF62-4DBD-B8C1-9F6C2C3086B7}"/>
    <cellStyle name="Normal 4 3 2 2 2 2 7 3" xfId="11024" xr:uid="{21433DC0-A77A-4BD8-B0A4-62D0F6A95B5E}"/>
    <cellStyle name="Normal 4 3 2 2 2 2 7 4" xfId="19453" xr:uid="{F14F7F27-2064-4BEE-9F05-FACB899EC469}"/>
    <cellStyle name="Normal 4 3 2 2 2 2 8" xfId="4748" xr:uid="{00000000-0005-0000-0000-000031140000}"/>
    <cellStyle name="Normal 4 3 2 2 2 2 8 2" xfId="13177" xr:uid="{63AE4422-B868-4BDF-AE60-ACC8BC21747A}"/>
    <cellStyle name="Normal 4 3 2 2 2 2 8 3" xfId="21605" xr:uid="{0E765E69-47D0-456B-A173-623CC3B85056}"/>
    <cellStyle name="Normal 4 3 2 2 2 2 9" xfId="8959" xr:uid="{E5FCB0FC-47D2-4582-ABB7-4966B55C3D6E}"/>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7" xr:uid="{0DC7A9E4-73E7-4BD0-B793-9051729A111F}"/>
    <cellStyle name="Normal 4 3 2 2 2 3 2 2 2 3" xfId="24165" xr:uid="{DC0C0E95-7DD7-4D42-85EF-769DC64A2DA1}"/>
    <cellStyle name="Normal 4 3 2 2 2 3 2 2 3" xfId="11519" xr:uid="{FF2EA8D2-088C-49FD-A2CE-162CEFBE11D2}"/>
    <cellStyle name="Normal 4 3 2 2 2 3 2 2 4" xfId="19948" xr:uid="{640107CB-660E-41E5-9A02-EBD317298D3F}"/>
    <cellStyle name="Normal 4 3 2 2 2 3 2 3" xfId="5163" xr:uid="{00000000-0005-0000-0000-000036140000}"/>
    <cellStyle name="Normal 4 3 2 2 2 3 2 3 2" xfId="13592" xr:uid="{BF94EE9F-1D16-4585-831F-3FBBF03DC881}"/>
    <cellStyle name="Normal 4 3 2 2 2 3 2 3 3" xfId="22020" xr:uid="{899DCBA7-C69C-4A0D-B9CD-93B823E55C66}"/>
    <cellStyle name="Normal 4 3 2 2 2 3 2 4" xfId="9374" xr:uid="{9577FEE2-9997-4488-BA30-4101FECBC121}"/>
    <cellStyle name="Normal 4 3 2 2 2 3 2 5" xfId="17803" xr:uid="{7041C9EB-CEE9-492E-9902-F4D95348CF1E}"/>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50" xr:uid="{0E470315-E1FF-462C-BC80-71CDC9E28033}"/>
    <cellStyle name="Normal 4 3 2 2 2 3 3 2 2 3" xfId="24578" xr:uid="{116E986A-0E4F-42CC-9FF7-DCBB9A6B559D}"/>
    <cellStyle name="Normal 4 3 2 2 2 3 3 2 3" xfId="11932" xr:uid="{2E28047C-EB14-417E-B933-453E8A8AE3DC}"/>
    <cellStyle name="Normal 4 3 2 2 2 3 3 2 4" xfId="20361" xr:uid="{394F6149-AC77-4B25-BDF9-DAE97081617C}"/>
    <cellStyle name="Normal 4 3 2 2 2 3 3 3" xfId="5576" xr:uid="{00000000-0005-0000-0000-00003A140000}"/>
    <cellStyle name="Normal 4 3 2 2 2 3 3 3 2" xfId="14005" xr:uid="{5CE5C118-AFF6-42E7-AA93-7881E2F4C6C0}"/>
    <cellStyle name="Normal 4 3 2 2 2 3 3 3 3" xfId="22433" xr:uid="{28099C1F-5976-424F-B0F4-ED8C9DEA317A}"/>
    <cellStyle name="Normal 4 3 2 2 2 3 3 4" xfId="9787" xr:uid="{E5042AAD-D43F-4D3A-9FB0-3CF1AF06716B}"/>
    <cellStyle name="Normal 4 3 2 2 2 3 3 5" xfId="18216" xr:uid="{D48BE9BC-8F90-4BCA-9744-6D8DDE718026}"/>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63" xr:uid="{6E2B4400-A6E1-4632-8169-2BBA85989421}"/>
    <cellStyle name="Normal 4 3 2 2 2 3 4 2 2 3" xfId="24991" xr:uid="{AA7CEB2F-A37D-4BAA-B318-1D1181266649}"/>
    <cellStyle name="Normal 4 3 2 2 2 3 4 2 3" xfId="12345" xr:uid="{29E9C02D-9B99-4FB5-8619-657825F8E4A6}"/>
    <cellStyle name="Normal 4 3 2 2 2 3 4 2 4" xfId="20774" xr:uid="{3D814366-FBC9-4902-8522-B7C4842F223F}"/>
    <cellStyle name="Normal 4 3 2 2 2 3 4 3" xfId="5989" xr:uid="{00000000-0005-0000-0000-00003E140000}"/>
    <cellStyle name="Normal 4 3 2 2 2 3 4 3 2" xfId="14418" xr:uid="{6C5E6313-F087-438B-B288-E91D784D4475}"/>
    <cellStyle name="Normal 4 3 2 2 2 3 4 3 3" xfId="22846" xr:uid="{C56CE9E6-8BF2-491D-9055-5991BAB4ACC7}"/>
    <cellStyle name="Normal 4 3 2 2 2 3 4 4" xfId="10200" xr:uid="{4B72B55F-A558-4E31-85CB-885AE7CED811}"/>
    <cellStyle name="Normal 4 3 2 2 2 3 4 5" xfId="18629" xr:uid="{6CE82365-557F-4269-95BC-1FD0ED7A331F}"/>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76" xr:uid="{7E66B530-FB07-4BE4-A736-08D07ED51EDD}"/>
    <cellStyle name="Normal 4 3 2 2 2 3 5 2 2 3" xfId="25404" xr:uid="{430696DC-E9A2-4C8A-82DF-6D939FD6B677}"/>
    <cellStyle name="Normal 4 3 2 2 2 3 5 2 3" xfId="12758" xr:uid="{913023F4-AF14-4C63-B67B-4EC2A8B40DA4}"/>
    <cellStyle name="Normal 4 3 2 2 2 3 5 2 4" xfId="21187" xr:uid="{7A985221-893B-4EBD-9C05-D70BA3FFE1D1}"/>
    <cellStyle name="Normal 4 3 2 2 2 3 5 3" xfId="6402" xr:uid="{00000000-0005-0000-0000-000042140000}"/>
    <cellStyle name="Normal 4 3 2 2 2 3 5 3 2" xfId="14831" xr:uid="{4785A4A9-5A70-452B-B56A-3B2B6FDD1466}"/>
    <cellStyle name="Normal 4 3 2 2 2 3 5 3 3" xfId="23259" xr:uid="{4863920A-E60B-4F67-BC15-DDE4A27510FE}"/>
    <cellStyle name="Normal 4 3 2 2 2 3 5 4" xfId="10613" xr:uid="{CBFAA0B6-751D-4535-9E8D-CDF7DEC9C62F}"/>
    <cellStyle name="Normal 4 3 2 2 2 3 5 5" xfId="19042" xr:uid="{C41D2E69-328A-4E01-9339-C9238CF64197}"/>
    <cellStyle name="Normal 4 3 2 2 2 3 6" xfId="2530" xr:uid="{00000000-0005-0000-0000-000043140000}"/>
    <cellStyle name="Normal 4 3 2 2 2 3 6 2" xfId="6815" xr:uid="{00000000-0005-0000-0000-000044140000}"/>
    <cellStyle name="Normal 4 3 2 2 2 3 6 2 2" xfId="15244" xr:uid="{7EF1FB3C-E910-4909-8616-B086F978F93B}"/>
    <cellStyle name="Normal 4 3 2 2 2 3 6 2 3" xfId="23672" xr:uid="{143938DD-41BF-40D9-B4B2-6DE4FDBAAA3E}"/>
    <cellStyle name="Normal 4 3 2 2 2 3 6 3" xfId="11026" xr:uid="{35501118-63F3-48F5-A1ED-C89FC22978BC}"/>
    <cellStyle name="Normal 4 3 2 2 2 3 6 4" xfId="19455" xr:uid="{356C73F7-5A3E-49BE-A2C9-6EEAA32DD917}"/>
    <cellStyle name="Normal 4 3 2 2 2 3 7" xfId="4750" xr:uid="{00000000-0005-0000-0000-000045140000}"/>
    <cellStyle name="Normal 4 3 2 2 2 3 7 2" xfId="13179" xr:uid="{A7019979-8DD5-4BA7-AC9A-92EB408AD7B4}"/>
    <cellStyle name="Normal 4 3 2 2 2 3 7 3" xfId="21607" xr:uid="{64C9D3B8-23C1-4D24-9647-24CB627FB77F}"/>
    <cellStyle name="Normal 4 3 2 2 2 3 8" xfId="8961" xr:uid="{3622A1E5-21CB-4870-BCFB-82F2F52637E1}"/>
    <cellStyle name="Normal 4 3 2 2 2 3 9" xfId="17390" xr:uid="{F1AED072-29F2-4E31-A0D0-D397D2F5B2BD}"/>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34" xr:uid="{FD4C3F96-5106-4B59-8369-81E68FBCDA95}"/>
    <cellStyle name="Normal 4 3 2 2 2 4 2 2 3" xfId="24162" xr:uid="{EE33B694-55A1-4841-8D10-C2BE7F55DBE9}"/>
    <cellStyle name="Normal 4 3 2 2 2 4 2 3" xfId="11516" xr:uid="{CA923415-0BE2-40D9-B9A0-381FD019F342}"/>
    <cellStyle name="Normal 4 3 2 2 2 4 2 4" xfId="19945" xr:uid="{F3A02AB3-EE79-4167-993C-3CBA34F4743D}"/>
    <cellStyle name="Normal 4 3 2 2 2 4 3" xfId="5160" xr:uid="{00000000-0005-0000-0000-000049140000}"/>
    <cellStyle name="Normal 4 3 2 2 2 4 3 2" xfId="13589" xr:uid="{6BF6BB1B-BF9F-4916-BEF7-ECC7333DDDE3}"/>
    <cellStyle name="Normal 4 3 2 2 2 4 3 3" xfId="22017" xr:uid="{59E6B7BE-C161-4C52-9B81-811F42C649A1}"/>
    <cellStyle name="Normal 4 3 2 2 2 4 4" xfId="9371" xr:uid="{1A7E23FD-142F-4AE7-B407-EABC7A243AA4}"/>
    <cellStyle name="Normal 4 3 2 2 2 4 5" xfId="17800" xr:uid="{4434DF67-3115-41AC-80B3-7A9ACE74E367}"/>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7" xr:uid="{A82BF7D2-DD32-418C-9321-32E075C7DADC}"/>
    <cellStyle name="Normal 4 3 2 2 2 5 2 2 3" xfId="24575" xr:uid="{A9446635-3ADB-4B35-82AB-B1B656CB4E58}"/>
    <cellStyle name="Normal 4 3 2 2 2 5 2 3" xfId="11929" xr:uid="{FDA425CD-3175-4761-85A3-A6F755FA3A32}"/>
    <cellStyle name="Normal 4 3 2 2 2 5 2 4" xfId="20358" xr:uid="{6D623488-31BC-4332-966D-DF21DBC3DAD6}"/>
    <cellStyle name="Normal 4 3 2 2 2 5 3" xfId="5573" xr:uid="{00000000-0005-0000-0000-00004D140000}"/>
    <cellStyle name="Normal 4 3 2 2 2 5 3 2" xfId="14002" xr:uid="{7227A2B5-6800-4874-B6A2-2A8AEF2D9B56}"/>
    <cellStyle name="Normal 4 3 2 2 2 5 3 3" xfId="22430" xr:uid="{3878B0CE-9584-4CE9-BB0D-011FDA79ECE2}"/>
    <cellStyle name="Normal 4 3 2 2 2 5 4" xfId="9784" xr:uid="{8A7F70FD-19EC-4BF4-A820-BB52FCD13FEA}"/>
    <cellStyle name="Normal 4 3 2 2 2 5 5" xfId="18213" xr:uid="{2E28070E-3518-4217-B1D3-7FC173021444}"/>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60" xr:uid="{887F31C7-4569-43D1-93C4-7782BA125DFD}"/>
    <cellStyle name="Normal 4 3 2 2 2 6 2 2 3" xfId="24988" xr:uid="{F86DAA8E-6C31-45D1-982B-38759DE35C4A}"/>
    <cellStyle name="Normal 4 3 2 2 2 6 2 3" xfId="12342" xr:uid="{75FB12CE-7105-4473-8AD0-CF157F63C865}"/>
    <cellStyle name="Normal 4 3 2 2 2 6 2 4" xfId="20771" xr:uid="{822C834F-BD92-453E-9217-6C274E3A470F}"/>
    <cellStyle name="Normal 4 3 2 2 2 6 3" xfId="5986" xr:uid="{00000000-0005-0000-0000-000051140000}"/>
    <cellStyle name="Normal 4 3 2 2 2 6 3 2" xfId="14415" xr:uid="{EF322CFB-2BC2-424E-9F94-B0531A69DEB6}"/>
    <cellStyle name="Normal 4 3 2 2 2 6 3 3" xfId="22843" xr:uid="{EC1D4C32-0FD5-4D54-8379-EAF2621400FF}"/>
    <cellStyle name="Normal 4 3 2 2 2 6 4" xfId="10197" xr:uid="{E1618F87-D5DE-4D4D-95C8-D210C3D07978}"/>
    <cellStyle name="Normal 4 3 2 2 2 6 5" xfId="18626" xr:uid="{825614DA-86D7-4503-BD9E-A818A3708F57}"/>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73" xr:uid="{49A42A30-65E3-49A4-BC72-BC1862FD130F}"/>
    <cellStyle name="Normal 4 3 2 2 2 7 2 2 3" xfId="25401" xr:uid="{FBD78C6F-EF72-4215-8F13-8811CD131403}"/>
    <cellStyle name="Normal 4 3 2 2 2 7 2 3" xfId="12755" xr:uid="{0F6229DE-6A4F-408F-8179-3A2CDC742F82}"/>
    <cellStyle name="Normal 4 3 2 2 2 7 2 4" xfId="21184" xr:uid="{468A5BD5-41F6-4D9C-8F0B-02D564F10A26}"/>
    <cellStyle name="Normal 4 3 2 2 2 7 3" xfId="6399" xr:uid="{00000000-0005-0000-0000-000055140000}"/>
    <cellStyle name="Normal 4 3 2 2 2 7 3 2" xfId="14828" xr:uid="{60F42029-22B7-44EA-BAED-D2946D44A038}"/>
    <cellStyle name="Normal 4 3 2 2 2 7 3 3" xfId="23256" xr:uid="{444A6B9B-D731-4E43-945F-2A39CDF61F24}"/>
    <cellStyle name="Normal 4 3 2 2 2 7 4" xfId="10610" xr:uid="{9F0F19F9-84A1-4D4C-932B-7626D1CEC805}"/>
    <cellStyle name="Normal 4 3 2 2 2 7 5" xfId="19039" xr:uid="{BBFB77A7-7009-4259-A14C-B63A8A5C45FE}"/>
    <cellStyle name="Normal 4 3 2 2 2 8" xfId="2527" xr:uid="{00000000-0005-0000-0000-000056140000}"/>
    <cellStyle name="Normal 4 3 2 2 2 8 2" xfId="6812" xr:uid="{00000000-0005-0000-0000-000057140000}"/>
    <cellStyle name="Normal 4 3 2 2 2 8 2 2" xfId="15241" xr:uid="{8A96DBCF-F64F-45EB-9405-500ADCDF08B1}"/>
    <cellStyle name="Normal 4 3 2 2 2 8 2 3" xfId="23669" xr:uid="{2BD28A71-A4FE-4FEC-9A0A-4C9F3EFB9FCD}"/>
    <cellStyle name="Normal 4 3 2 2 2 8 3" xfId="11023" xr:uid="{7856FB9B-8EFF-4BCA-8B53-90A1FF6ACFDC}"/>
    <cellStyle name="Normal 4 3 2 2 2 8 4" xfId="19452" xr:uid="{6114A334-BB88-4F7E-9B69-51DC63FE2275}"/>
    <cellStyle name="Normal 4 3 2 2 2 9" xfId="4747" xr:uid="{00000000-0005-0000-0000-000058140000}"/>
    <cellStyle name="Normal 4 3 2 2 2 9 2" xfId="13176" xr:uid="{E09BA528-B800-49A4-A974-850D6A0C04FD}"/>
    <cellStyle name="Normal 4 3 2 2 2 9 3" xfId="21604" xr:uid="{9CA5BCC3-804B-4FBA-80F8-34D508120335}"/>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C571A7C9-89EB-4CF3-A741-80AADC63A126}"/>
    <cellStyle name="Normal 4 3 3 11" xfId="17391" xr:uid="{D42998AF-3C2F-44AE-B69D-5F0B0D654A61}"/>
    <cellStyle name="Normal 4 3 3 2" xfId="375" xr:uid="{00000000-0005-0000-0000-00005D140000}"/>
    <cellStyle name="Normal 4 3 3 2 10" xfId="17392" xr:uid="{6B50DF3B-75B9-4C3E-BF0C-4DC1E2572DC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40" xr:uid="{F583379D-0DE3-4C30-A2BC-BD62DFC815BC}"/>
    <cellStyle name="Normal 4 3 3 2 2 2 2 2 3" xfId="24168" xr:uid="{1A3DDD05-778A-4166-A704-F555CC4FBDE6}"/>
    <cellStyle name="Normal 4 3 3 2 2 2 2 3" xfId="11522" xr:uid="{5A6B7403-EE55-4CA6-BDE6-5A9CF45955E1}"/>
    <cellStyle name="Normal 4 3 3 2 2 2 2 4" xfId="19951" xr:uid="{C3B8D554-EA4F-4689-B521-CFC9B5D71E10}"/>
    <cellStyle name="Normal 4 3 3 2 2 2 3" xfId="5166" xr:uid="{00000000-0005-0000-0000-000062140000}"/>
    <cellStyle name="Normal 4 3 3 2 2 2 3 2" xfId="13595" xr:uid="{5415785D-D798-48F9-A820-2CDEB69DFF60}"/>
    <cellStyle name="Normal 4 3 3 2 2 2 3 3" xfId="22023" xr:uid="{B9DE3774-D05E-4579-9F4B-77BDB6CAC5DD}"/>
    <cellStyle name="Normal 4 3 3 2 2 2 4" xfId="9377" xr:uid="{E398CE36-D571-4A98-8ACD-422B843BB1FA}"/>
    <cellStyle name="Normal 4 3 3 2 2 2 5" xfId="17806" xr:uid="{A3D53D55-2351-4A69-AAE4-3EFB1F49B68C}"/>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53" xr:uid="{A6CAA540-F137-400B-B895-69359860C422}"/>
    <cellStyle name="Normal 4 3 3 2 2 3 2 2 3" xfId="24581" xr:uid="{A854F50D-D228-439B-A280-311C8824CEF7}"/>
    <cellStyle name="Normal 4 3 3 2 2 3 2 3" xfId="11935" xr:uid="{9BFDA97E-6F79-42E9-A717-F7FA62E8A91F}"/>
    <cellStyle name="Normal 4 3 3 2 2 3 2 4" xfId="20364" xr:uid="{A9CFB369-1079-4D98-B875-C72A2BEE656B}"/>
    <cellStyle name="Normal 4 3 3 2 2 3 3" xfId="5579" xr:uid="{00000000-0005-0000-0000-000066140000}"/>
    <cellStyle name="Normal 4 3 3 2 2 3 3 2" xfId="14008" xr:uid="{FCDBA596-B89C-463E-9498-1ED31528B8CE}"/>
    <cellStyle name="Normal 4 3 3 2 2 3 3 3" xfId="22436" xr:uid="{AFA39001-AAEF-44CC-A39B-D43337C3BD0D}"/>
    <cellStyle name="Normal 4 3 3 2 2 3 4" xfId="9790" xr:uid="{36D986AB-6447-440C-A062-9D72A6086758}"/>
    <cellStyle name="Normal 4 3 3 2 2 3 5" xfId="18219" xr:uid="{7D942EC6-2250-4D41-96FD-AFD3232F461B}"/>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66" xr:uid="{8C20F921-075B-4D2C-8578-0D6C20A6A2FB}"/>
    <cellStyle name="Normal 4 3 3 2 2 4 2 2 3" xfId="24994" xr:uid="{9180513D-B301-46E5-801F-32C840B1944B}"/>
    <cellStyle name="Normal 4 3 3 2 2 4 2 3" xfId="12348" xr:uid="{1395F8F5-7159-409B-AF9E-8AA79112ED6D}"/>
    <cellStyle name="Normal 4 3 3 2 2 4 2 4" xfId="20777" xr:uid="{02205391-BB5A-4C9B-93FA-F53F5A2799B5}"/>
    <cellStyle name="Normal 4 3 3 2 2 4 3" xfId="5992" xr:uid="{00000000-0005-0000-0000-00006A140000}"/>
    <cellStyle name="Normal 4 3 3 2 2 4 3 2" xfId="14421" xr:uid="{B7922CD9-4ECA-4ECF-BC02-865C6EE24962}"/>
    <cellStyle name="Normal 4 3 3 2 2 4 3 3" xfId="22849" xr:uid="{1ED1EA3F-C4CE-46CC-83BB-7C4AC4897EF2}"/>
    <cellStyle name="Normal 4 3 3 2 2 4 4" xfId="10203" xr:uid="{B6576B7D-0E8E-4C3B-9992-04EF3A280B0E}"/>
    <cellStyle name="Normal 4 3 3 2 2 4 5" xfId="18632" xr:uid="{77FF64F5-163F-4202-B31C-53F1804495A3}"/>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9" xr:uid="{5E588EF6-1F00-453D-A568-88FCF51E609C}"/>
    <cellStyle name="Normal 4 3 3 2 2 5 2 2 3" xfId="25407" xr:uid="{0A1D8DB3-8724-4F6B-8DC4-FB1CC15019DA}"/>
    <cellStyle name="Normal 4 3 3 2 2 5 2 3" xfId="12761" xr:uid="{10E9D852-9938-49E7-84F9-79994CAB86CC}"/>
    <cellStyle name="Normal 4 3 3 2 2 5 2 4" xfId="21190" xr:uid="{6EEF2C20-0DDC-44A0-8DE7-6D93A8D726CD}"/>
    <cellStyle name="Normal 4 3 3 2 2 5 3" xfId="6405" xr:uid="{00000000-0005-0000-0000-00006E140000}"/>
    <cellStyle name="Normal 4 3 3 2 2 5 3 2" xfId="14834" xr:uid="{794C84F6-1E71-4F1D-84C3-6771A0BAC49E}"/>
    <cellStyle name="Normal 4 3 3 2 2 5 3 3" xfId="23262" xr:uid="{595A6D43-CE69-4F57-A5E3-3D0126403DB0}"/>
    <cellStyle name="Normal 4 3 3 2 2 5 4" xfId="10616" xr:uid="{34615A20-36D2-4243-A41B-09614336D9D1}"/>
    <cellStyle name="Normal 4 3 3 2 2 5 5" xfId="19045" xr:uid="{74F12DDA-3225-46D7-BDFD-72B3BBA7A314}"/>
    <cellStyle name="Normal 4 3 3 2 2 6" xfId="2533" xr:uid="{00000000-0005-0000-0000-00006F140000}"/>
    <cellStyle name="Normal 4 3 3 2 2 6 2" xfId="6818" xr:uid="{00000000-0005-0000-0000-000070140000}"/>
    <cellStyle name="Normal 4 3 3 2 2 6 2 2" xfId="15247" xr:uid="{95A66F6A-5F0B-4358-B961-D8B908D2304D}"/>
    <cellStyle name="Normal 4 3 3 2 2 6 2 3" xfId="23675" xr:uid="{E2744B7D-F1B5-498E-AF16-2330B48F9646}"/>
    <cellStyle name="Normal 4 3 3 2 2 6 3" xfId="11029" xr:uid="{0EDE9CD7-5066-4852-AFFA-5572AD79279F}"/>
    <cellStyle name="Normal 4 3 3 2 2 6 4" xfId="19458" xr:uid="{5D850AD4-E3E4-4296-B439-54C1A91531B0}"/>
    <cellStyle name="Normal 4 3 3 2 2 7" xfId="4753" xr:uid="{00000000-0005-0000-0000-000071140000}"/>
    <cellStyle name="Normal 4 3 3 2 2 7 2" xfId="13182" xr:uid="{32D8E24F-92BB-4E8C-8526-4CB8D9BDCE2D}"/>
    <cellStyle name="Normal 4 3 3 2 2 7 3" xfId="21610" xr:uid="{3CE0C0D8-E350-4DBA-96C8-F22872B3E2F6}"/>
    <cellStyle name="Normal 4 3 3 2 2 8" xfId="8964" xr:uid="{23900CEF-2D8F-4673-BAC0-49B903CAC004}"/>
    <cellStyle name="Normal 4 3 3 2 2 9" xfId="17393" xr:uid="{DD7DBCFE-3340-4DBF-90CF-BB3A860DE7D5}"/>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9" xr:uid="{2986B8C3-E58F-417D-AF8C-1E885CAF146F}"/>
    <cellStyle name="Normal 4 3 3 2 3 2 2 3" xfId="24167" xr:uid="{73A11609-E303-4F2F-83C2-2A8989BE359D}"/>
    <cellStyle name="Normal 4 3 3 2 3 2 3" xfId="11521" xr:uid="{A415E6D1-B63C-4189-8171-CC3B1240F8C2}"/>
    <cellStyle name="Normal 4 3 3 2 3 2 4" xfId="19950" xr:uid="{954AD281-F274-4DAF-9671-9DCC2DA0389C}"/>
    <cellStyle name="Normal 4 3 3 2 3 3" xfId="5165" xr:uid="{00000000-0005-0000-0000-000075140000}"/>
    <cellStyle name="Normal 4 3 3 2 3 3 2" xfId="13594" xr:uid="{89F7EB8B-A73B-4730-A4F2-96B1FE1D6287}"/>
    <cellStyle name="Normal 4 3 3 2 3 3 3" xfId="22022" xr:uid="{D7A795AE-499A-4670-871D-520454A620A9}"/>
    <cellStyle name="Normal 4 3 3 2 3 4" xfId="9376" xr:uid="{2D487212-DA4F-4F4A-9A4D-40BA8422A6E8}"/>
    <cellStyle name="Normal 4 3 3 2 3 5" xfId="17805" xr:uid="{97863FC4-C693-4F42-B8E5-8414DAE3B86C}"/>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52" xr:uid="{58561BEB-0B1D-4339-BA54-48AF8F6B7177}"/>
    <cellStyle name="Normal 4 3 3 2 4 2 2 3" xfId="24580" xr:uid="{2D00E9B4-F8B7-4DB0-8304-E898AD1A30AE}"/>
    <cellStyle name="Normal 4 3 3 2 4 2 3" xfId="11934" xr:uid="{66B916C3-0624-4F26-8027-14D8950CE439}"/>
    <cellStyle name="Normal 4 3 3 2 4 2 4" xfId="20363" xr:uid="{47CBA99D-17C7-4A72-971A-9B8E33CEE4E1}"/>
    <cellStyle name="Normal 4 3 3 2 4 3" xfId="5578" xr:uid="{00000000-0005-0000-0000-000079140000}"/>
    <cellStyle name="Normal 4 3 3 2 4 3 2" xfId="14007" xr:uid="{BB46B15E-68FC-42B0-8AEF-63C278B94647}"/>
    <cellStyle name="Normal 4 3 3 2 4 3 3" xfId="22435" xr:uid="{7B40B00B-4B83-4407-BECD-2D4A7B524F96}"/>
    <cellStyle name="Normal 4 3 3 2 4 4" xfId="9789" xr:uid="{ACD952B6-5BC4-4C21-99E1-5D9D9F324623}"/>
    <cellStyle name="Normal 4 3 3 2 4 5" xfId="18218" xr:uid="{D8B5566A-EBD7-4DD4-B3FF-649C85905BE3}"/>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65" xr:uid="{366589FC-3880-40D4-8CC8-C1327A3E21A8}"/>
    <cellStyle name="Normal 4 3 3 2 5 2 2 3" xfId="24993" xr:uid="{CE76FDA1-6757-4C6C-9BAA-30EE340F10DF}"/>
    <cellStyle name="Normal 4 3 3 2 5 2 3" xfId="12347" xr:uid="{AB3ACFDD-BB3A-49C7-A068-FCEE182C443C}"/>
    <cellStyle name="Normal 4 3 3 2 5 2 4" xfId="20776" xr:uid="{467850A6-335D-4450-B61F-8983FA81612C}"/>
    <cellStyle name="Normal 4 3 3 2 5 3" xfId="5991" xr:uid="{00000000-0005-0000-0000-00007D140000}"/>
    <cellStyle name="Normal 4 3 3 2 5 3 2" xfId="14420" xr:uid="{8E08772E-84F5-4827-A10D-1B9F519A7063}"/>
    <cellStyle name="Normal 4 3 3 2 5 3 3" xfId="22848" xr:uid="{B0DB90EE-3861-4D16-B4B1-3C576CA90D31}"/>
    <cellStyle name="Normal 4 3 3 2 5 4" xfId="10202" xr:uid="{9FD606C4-4DCF-4C67-BE27-726635FD933F}"/>
    <cellStyle name="Normal 4 3 3 2 5 5" xfId="18631" xr:uid="{2221BB96-D91E-43EC-8C53-84157E5167D2}"/>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8" xr:uid="{50A27129-7A2B-4C20-A75D-DB0DF912C07B}"/>
    <cellStyle name="Normal 4 3 3 2 6 2 2 3" xfId="25406" xr:uid="{50D0E321-F264-4F78-9E0E-1E5D7A71F9B9}"/>
    <cellStyle name="Normal 4 3 3 2 6 2 3" xfId="12760" xr:uid="{A50A2A6F-55F2-4D4D-B79A-1A958928B793}"/>
    <cellStyle name="Normal 4 3 3 2 6 2 4" xfId="21189" xr:uid="{449A38ED-DC14-48E2-B980-CE5461C74EEB}"/>
    <cellStyle name="Normal 4 3 3 2 6 3" xfId="6404" xr:uid="{00000000-0005-0000-0000-000081140000}"/>
    <cellStyle name="Normal 4 3 3 2 6 3 2" xfId="14833" xr:uid="{21AEFA72-BFC9-4FD2-9F35-C52B866B887F}"/>
    <cellStyle name="Normal 4 3 3 2 6 3 3" xfId="23261" xr:uid="{2C3F90DE-2E5F-4566-973B-354001A7FE07}"/>
    <cellStyle name="Normal 4 3 3 2 6 4" xfId="10615" xr:uid="{DAC0ADCA-79FC-47D1-ABD4-9D4D13D11E04}"/>
    <cellStyle name="Normal 4 3 3 2 6 5" xfId="19044" xr:uid="{36082F27-4D2A-4A2D-8BFB-F0F2EC32FD72}"/>
    <cellStyle name="Normal 4 3 3 2 7" xfId="2532" xr:uid="{00000000-0005-0000-0000-000082140000}"/>
    <cellStyle name="Normal 4 3 3 2 7 2" xfId="6817" xr:uid="{00000000-0005-0000-0000-000083140000}"/>
    <cellStyle name="Normal 4 3 3 2 7 2 2" xfId="15246" xr:uid="{01275646-8BB1-42CC-A4DE-2FCD571567AF}"/>
    <cellStyle name="Normal 4 3 3 2 7 2 3" xfId="23674" xr:uid="{40F9CA0C-3DFC-4E4C-8A0A-0A13A1016DD1}"/>
    <cellStyle name="Normal 4 3 3 2 7 3" xfId="11028" xr:uid="{D7206F9D-015E-4C1D-9271-0FD0CCC3DF76}"/>
    <cellStyle name="Normal 4 3 3 2 7 4" xfId="19457" xr:uid="{0A48A220-874B-4FD7-A9F9-62D9EED6889F}"/>
    <cellStyle name="Normal 4 3 3 2 8" xfId="4752" xr:uid="{00000000-0005-0000-0000-000084140000}"/>
    <cellStyle name="Normal 4 3 3 2 8 2" xfId="13181" xr:uid="{1F23E89F-CB5D-46DE-AD10-4A9EB0679CA5}"/>
    <cellStyle name="Normal 4 3 3 2 8 3" xfId="21609" xr:uid="{6D8A0D44-8C8E-4442-B601-4CFCEA3EB3DF}"/>
    <cellStyle name="Normal 4 3 3 2 9" xfId="8963" xr:uid="{CCBFD493-5DEC-4986-9FFF-57D5E7E1D16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41" xr:uid="{707B401E-D3AA-44E5-9403-A971754A9B92}"/>
    <cellStyle name="Normal 4 3 3 3 2 2 2 3" xfId="24169" xr:uid="{9DE45A76-1483-4CA1-980C-DC32DD4BDBC9}"/>
    <cellStyle name="Normal 4 3 3 3 2 2 3" xfId="11523" xr:uid="{4B9E5070-FBA3-43A3-BD44-AF8667C5F87C}"/>
    <cellStyle name="Normal 4 3 3 3 2 2 4" xfId="19952" xr:uid="{151AA1A4-995D-4A10-8FFA-29635AB72882}"/>
    <cellStyle name="Normal 4 3 3 3 2 3" xfId="5167" xr:uid="{00000000-0005-0000-0000-000089140000}"/>
    <cellStyle name="Normal 4 3 3 3 2 3 2" xfId="13596" xr:uid="{EDEAC3C8-DB83-4522-B6E2-6B1B7F46280B}"/>
    <cellStyle name="Normal 4 3 3 3 2 3 3" xfId="22024" xr:uid="{23D348FE-3D06-4A77-8742-C60AF9BB2378}"/>
    <cellStyle name="Normal 4 3 3 3 2 4" xfId="9378" xr:uid="{B75CC2D4-3C1F-4094-8787-9744F674C1ED}"/>
    <cellStyle name="Normal 4 3 3 3 2 5" xfId="17807" xr:uid="{C4748D07-BF7A-4326-BC9D-90FC75947F1A}"/>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54" xr:uid="{9932E2B0-F9BE-43F6-86A2-722A949199D8}"/>
    <cellStyle name="Normal 4 3 3 3 3 2 2 3" xfId="24582" xr:uid="{C9E4E0B2-CE74-4748-A421-F9612363D493}"/>
    <cellStyle name="Normal 4 3 3 3 3 2 3" xfId="11936" xr:uid="{DE3E7417-9ADD-478A-999A-3493705B7FCA}"/>
    <cellStyle name="Normal 4 3 3 3 3 2 4" xfId="20365" xr:uid="{F0AC1AF5-DF99-4E4A-A270-C08B39A37BBB}"/>
    <cellStyle name="Normal 4 3 3 3 3 3" xfId="5580" xr:uid="{00000000-0005-0000-0000-00008D140000}"/>
    <cellStyle name="Normal 4 3 3 3 3 3 2" xfId="14009" xr:uid="{8CED7A34-4905-4FDA-961C-64A817F862D2}"/>
    <cellStyle name="Normal 4 3 3 3 3 3 3" xfId="22437" xr:uid="{F17B4342-55E1-45AA-BCD1-C4A12BEF6809}"/>
    <cellStyle name="Normal 4 3 3 3 3 4" xfId="9791" xr:uid="{37031DA6-17FB-4727-A749-140FC0A2B4D7}"/>
    <cellStyle name="Normal 4 3 3 3 3 5" xfId="18220" xr:uid="{AAA4FE7C-9E52-4208-82B8-FB5300163C8A}"/>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7" xr:uid="{6C63BCC2-2199-4BEA-BAA0-039F6B7B19B8}"/>
    <cellStyle name="Normal 4 3 3 3 4 2 2 3" xfId="24995" xr:uid="{66043C6A-0FA2-4630-A1C0-3BEF340037FB}"/>
    <cellStyle name="Normal 4 3 3 3 4 2 3" xfId="12349" xr:uid="{E07FD1F1-7815-4091-AE7E-61A9D8A20100}"/>
    <cellStyle name="Normal 4 3 3 3 4 2 4" xfId="20778" xr:uid="{C706AE52-9F75-496C-8C03-ADDA20EEDF8F}"/>
    <cellStyle name="Normal 4 3 3 3 4 3" xfId="5993" xr:uid="{00000000-0005-0000-0000-000091140000}"/>
    <cellStyle name="Normal 4 3 3 3 4 3 2" xfId="14422" xr:uid="{D39D84E4-7DC6-4B9C-A820-24E13B4A9726}"/>
    <cellStyle name="Normal 4 3 3 3 4 3 3" xfId="22850" xr:uid="{8AE545F4-9C20-4F38-8BC2-3EA0B485AA7D}"/>
    <cellStyle name="Normal 4 3 3 3 4 4" xfId="10204" xr:uid="{C47ACF9D-C46A-41B5-8184-9FF7D943095D}"/>
    <cellStyle name="Normal 4 3 3 3 4 5" xfId="18633" xr:uid="{51EF9600-2010-43CD-B28B-83E4CEC5DEEC}"/>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80" xr:uid="{3B2BD4BE-3541-4296-90B0-EC265FA0E2E2}"/>
    <cellStyle name="Normal 4 3 3 3 5 2 2 3" xfId="25408" xr:uid="{B0203817-15C5-4ECD-A724-50399F221222}"/>
    <cellStyle name="Normal 4 3 3 3 5 2 3" xfId="12762" xr:uid="{5B683588-1158-4D27-BB9A-F1B2C29FA061}"/>
    <cellStyle name="Normal 4 3 3 3 5 2 4" xfId="21191" xr:uid="{3206F9FD-D3DE-4C14-AE09-C0AAC2D85890}"/>
    <cellStyle name="Normal 4 3 3 3 5 3" xfId="6406" xr:uid="{00000000-0005-0000-0000-000095140000}"/>
    <cellStyle name="Normal 4 3 3 3 5 3 2" xfId="14835" xr:uid="{777F750B-A905-494F-BBDD-1EF18B298C41}"/>
    <cellStyle name="Normal 4 3 3 3 5 3 3" xfId="23263" xr:uid="{3F584551-3716-4A2A-87A9-F4282A198A57}"/>
    <cellStyle name="Normal 4 3 3 3 5 4" xfId="10617" xr:uid="{D5E4656B-E46A-4679-86A7-A859BC6F61F6}"/>
    <cellStyle name="Normal 4 3 3 3 5 5" xfId="19046" xr:uid="{8B7F18F5-48A1-43C8-8898-CF7A586D84F6}"/>
    <cellStyle name="Normal 4 3 3 3 6" xfId="2534" xr:uid="{00000000-0005-0000-0000-000096140000}"/>
    <cellStyle name="Normal 4 3 3 3 6 2" xfId="6819" xr:uid="{00000000-0005-0000-0000-000097140000}"/>
    <cellStyle name="Normal 4 3 3 3 6 2 2" xfId="15248" xr:uid="{7A6F6C9F-F309-4CA6-A240-C8A3E99F6E5B}"/>
    <cellStyle name="Normal 4 3 3 3 6 2 3" xfId="23676" xr:uid="{58997AAE-0D5D-4E59-97D8-BC0D9E7E5BFA}"/>
    <cellStyle name="Normal 4 3 3 3 6 3" xfId="11030" xr:uid="{260D8F69-AC58-4403-AFB7-772814C0347C}"/>
    <cellStyle name="Normal 4 3 3 3 6 4" xfId="19459" xr:uid="{4BB4E2CF-C067-4326-802A-DB72F0F5F4B8}"/>
    <cellStyle name="Normal 4 3 3 3 7" xfId="4754" xr:uid="{00000000-0005-0000-0000-000098140000}"/>
    <cellStyle name="Normal 4 3 3 3 7 2" xfId="13183" xr:uid="{D07CE651-C26A-43B2-AE3C-A766C6AC994C}"/>
    <cellStyle name="Normal 4 3 3 3 7 3" xfId="21611" xr:uid="{7FA5268A-8FC1-4248-882E-DA63BC99A787}"/>
    <cellStyle name="Normal 4 3 3 3 8" xfId="8965" xr:uid="{143D594C-0FEB-4E61-AA3A-501B95BC6495}"/>
    <cellStyle name="Normal 4 3 3 3 9" xfId="17394" xr:uid="{AFE524B5-A918-475B-862B-8FC8CE5C3F1A}"/>
    <cellStyle name="Normal 4 3 3 4" xfId="850" xr:uid="{00000000-0005-0000-0000-000099140000}"/>
    <cellStyle name="Normal 4 3 3 4 2" xfId="3085" xr:uid="{00000000-0005-0000-0000-00009A140000}"/>
    <cellStyle name="Normal 4 3 3 4 2 2" xfId="7309" xr:uid="{00000000-0005-0000-0000-00009B140000}"/>
    <cellStyle name="Normal 4 3 3 4 2 2 2" xfId="15738" xr:uid="{87F52172-8C88-4C4C-BCFB-D4EF74478E77}"/>
    <cellStyle name="Normal 4 3 3 4 2 2 3" xfId="24166" xr:uid="{58E5ECA4-67B1-40E8-A56C-89B3F6AF5E08}"/>
    <cellStyle name="Normal 4 3 3 4 2 3" xfId="11520" xr:uid="{31C57A50-AAAB-4CEA-A682-06AF4DE8851B}"/>
    <cellStyle name="Normal 4 3 3 4 2 4" xfId="19949" xr:uid="{0BB9A11A-3BFA-43AA-9CA2-2FBDA4144FB4}"/>
    <cellStyle name="Normal 4 3 3 4 3" xfId="5164" xr:uid="{00000000-0005-0000-0000-00009C140000}"/>
    <cellStyle name="Normal 4 3 3 4 3 2" xfId="13593" xr:uid="{82FF598B-CADE-4671-A442-32613AC71E71}"/>
    <cellStyle name="Normal 4 3 3 4 3 3" xfId="22021" xr:uid="{3A7D1923-2B7C-44F1-A9FC-6EABD7F2CF7E}"/>
    <cellStyle name="Normal 4 3 3 4 4" xfId="9375" xr:uid="{4E8BAE1D-5A8D-49C5-B1EE-956D124979D3}"/>
    <cellStyle name="Normal 4 3 3 4 5" xfId="17804" xr:uid="{C1521903-3A41-4588-BEB4-E03881DDE520}"/>
    <cellStyle name="Normal 4 3 3 5" xfId="1268" xr:uid="{00000000-0005-0000-0000-00009D140000}"/>
    <cellStyle name="Normal 4 3 3 5 2" xfId="3498" xr:uid="{00000000-0005-0000-0000-00009E140000}"/>
    <cellStyle name="Normal 4 3 3 5 2 2" xfId="7722" xr:uid="{00000000-0005-0000-0000-00009F140000}"/>
    <cellStyle name="Normal 4 3 3 5 2 2 2" xfId="16151" xr:uid="{26867F05-09D4-4ACA-BCA6-843BFF9D1450}"/>
    <cellStyle name="Normal 4 3 3 5 2 2 3" xfId="24579" xr:uid="{BD389ED0-0BF9-4A4F-95E4-43EDC791E2DF}"/>
    <cellStyle name="Normal 4 3 3 5 2 3" xfId="11933" xr:uid="{4F9BC958-357F-4803-B0D7-D4B6C39C6D37}"/>
    <cellStyle name="Normal 4 3 3 5 2 4" xfId="20362" xr:uid="{DC9F1F76-9363-490A-A5DA-AE0021D146AA}"/>
    <cellStyle name="Normal 4 3 3 5 3" xfId="5577" xr:uid="{00000000-0005-0000-0000-0000A0140000}"/>
    <cellStyle name="Normal 4 3 3 5 3 2" xfId="14006" xr:uid="{3955AAFB-BCF2-4E51-8931-BFC5AEE10C9F}"/>
    <cellStyle name="Normal 4 3 3 5 3 3" xfId="22434" xr:uid="{36FACC20-CB5A-4467-8197-0D61280A2301}"/>
    <cellStyle name="Normal 4 3 3 5 4" xfId="9788" xr:uid="{1DA2D9CE-95D1-4FD7-A262-A0CF598151D6}"/>
    <cellStyle name="Normal 4 3 3 5 5" xfId="18217" xr:uid="{A16CCB2D-EC03-4147-8C13-E9680BA0977E}"/>
    <cellStyle name="Normal 4 3 3 6" xfId="1681" xr:uid="{00000000-0005-0000-0000-0000A1140000}"/>
    <cellStyle name="Normal 4 3 3 6 2" xfId="3911" xr:uid="{00000000-0005-0000-0000-0000A2140000}"/>
    <cellStyle name="Normal 4 3 3 6 2 2" xfId="8135" xr:uid="{00000000-0005-0000-0000-0000A3140000}"/>
    <cellStyle name="Normal 4 3 3 6 2 2 2" xfId="16564" xr:uid="{27E813BB-96A2-4FBC-A24F-78BEF4D95D6D}"/>
    <cellStyle name="Normal 4 3 3 6 2 2 3" xfId="24992" xr:uid="{1E28800D-7DB6-47DB-AEEE-B7F50879A77F}"/>
    <cellStyle name="Normal 4 3 3 6 2 3" xfId="12346" xr:uid="{E3B81B01-6556-4884-9452-909F9973B67E}"/>
    <cellStyle name="Normal 4 3 3 6 2 4" xfId="20775" xr:uid="{F3D32FF7-849D-4280-9D1C-46EC4A012E8B}"/>
    <cellStyle name="Normal 4 3 3 6 3" xfId="5990" xr:uid="{00000000-0005-0000-0000-0000A4140000}"/>
    <cellStyle name="Normal 4 3 3 6 3 2" xfId="14419" xr:uid="{17D68EBD-59D0-416A-B23B-E95861DD0EF1}"/>
    <cellStyle name="Normal 4 3 3 6 3 3" xfId="22847" xr:uid="{49C812BA-737A-400D-AA26-CE460A2A2F2B}"/>
    <cellStyle name="Normal 4 3 3 6 4" xfId="10201" xr:uid="{8F4BAF62-37C2-4447-820F-001A697A41DB}"/>
    <cellStyle name="Normal 4 3 3 6 5" xfId="18630" xr:uid="{EA8A0F3C-80C6-4F83-9F18-F77E3EC0A777}"/>
    <cellStyle name="Normal 4 3 3 7" xfId="2095" xr:uid="{00000000-0005-0000-0000-0000A5140000}"/>
    <cellStyle name="Normal 4 3 3 7 2" xfId="4324" xr:uid="{00000000-0005-0000-0000-0000A6140000}"/>
    <cellStyle name="Normal 4 3 3 7 2 2" xfId="8548" xr:uid="{00000000-0005-0000-0000-0000A7140000}"/>
    <cellStyle name="Normal 4 3 3 7 2 2 2" xfId="16977" xr:uid="{18E7356B-66A0-46CC-8D05-B0594DB4D547}"/>
    <cellStyle name="Normal 4 3 3 7 2 2 3" xfId="25405" xr:uid="{1FAFE241-38F9-4963-B000-1D10C93E0ABA}"/>
    <cellStyle name="Normal 4 3 3 7 2 3" xfId="12759" xr:uid="{14ED140E-5DD8-4D23-90E9-51B20DCBA270}"/>
    <cellStyle name="Normal 4 3 3 7 2 4" xfId="21188" xr:uid="{0FDF4471-27E8-4C74-BCEC-6F0A5FE18EB0}"/>
    <cellStyle name="Normal 4 3 3 7 3" xfId="6403" xr:uid="{00000000-0005-0000-0000-0000A8140000}"/>
    <cellStyle name="Normal 4 3 3 7 3 2" xfId="14832" xr:uid="{E5EF77E1-C01C-483F-9CE5-2D3E80645C08}"/>
    <cellStyle name="Normal 4 3 3 7 3 3" xfId="23260" xr:uid="{B60486AC-30B3-484F-917D-A59A1AB2C60E}"/>
    <cellStyle name="Normal 4 3 3 7 4" xfId="10614" xr:uid="{0F8BACD5-FBB0-4604-9B34-E3C992062642}"/>
    <cellStyle name="Normal 4 3 3 7 5" xfId="19043" xr:uid="{AE0D8286-3C82-4EDA-84B9-B9F526361C2A}"/>
    <cellStyle name="Normal 4 3 3 8" xfId="2531" xr:uid="{00000000-0005-0000-0000-0000A9140000}"/>
    <cellStyle name="Normal 4 3 3 8 2" xfId="6816" xr:uid="{00000000-0005-0000-0000-0000AA140000}"/>
    <cellStyle name="Normal 4 3 3 8 2 2" xfId="15245" xr:uid="{8CADA169-6610-4848-9F92-B819CDF089DC}"/>
    <cellStyle name="Normal 4 3 3 8 2 3" xfId="23673" xr:uid="{016C8DCB-66E7-4869-82DA-C5DF64639615}"/>
    <cellStyle name="Normal 4 3 3 8 3" xfId="11027" xr:uid="{E8A6B2AC-4AE0-4424-815A-C86C913D6AD3}"/>
    <cellStyle name="Normal 4 3 3 8 4" xfId="19456" xr:uid="{C236519E-6A09-45F6-9FE1-760F701BF85A}"/>
    <cellStyle name="Normal 4 3 3 9" xfId="4751" xr:uid="{00000000-0005-0000-0000-0000AB140000}"/>
    <cellStyle name="Normal 4 3 3 9 2" xfId="13180" xr:uid="{B128E0BF-6276-41D3-B445-B5E103A0F03B}"/>
    <cellStyle name="Normal 4 3 3 9 3" xfId="21608" xr:uid="{749CCE94-B20E-4676-8DC7-963B5D0CF660}"/>
    <cellStyle name="Normal 4 3 4" xfId="843" xr:uid="{00000000-0005-0000-0000-0000AC140000}"/>
    <cellStyle name="Normal 4 3 4 2" xfId="3080" xr:uid="{00000000-0005-0000-0000-0000AD140000}"/>
    <cellStyle name="Normal 4 3 4 2 2" xfId="7304" xr:uid="{00000000-0005-0000-0000-0000AE140000}"/>
    <cellStyle name="Normal 4 3 4 2 2 2" xfId="15733" xr:uid="{931A1B41-8D57-41AB-9E51-8985B3D9DC74}"/>
    <cellStyle name="Normal 4 3 4 2 2 3" xfId="24161" xr:uid="{08D9D837-B6AE-4021-8B1F-6A993AAB2037}"/>
    <cellStyle name="Normal 4 3 4 2 3" xfId="11515" xr:uid="{7BDC557B-219A-48A2-80AD-1E06370562EA}"/>
    <cellStyle name="Normal 4 3 4 2 4" xfId="19944" xr:uid="{E6FFBD53-80AA-4C5D-8CC8-03E2E74B12A9}"/>
    <cellStyle name="Normal 4 3 4 3" xfId="5159" xr:uid="{00000000-0005-0000-0000-0000AF140000}"/>
    <cellStyle name="Normal 4 3 4 3 2" xfId="13588" xr:uid="{BCA7152D-7DCC-4BF2-8BEB-D6E52420BEB9}"/>
    <cellStyle name="Normal 4 3 4 3 3" xfId="22016" xr:uid="{B2FD00AB-0D3F-48C0-8103-073D1DE9CE36}"/>
    <cellStyle name="Normal 4 3 4 4" xfId="9370" xr:uid="{0A020D9A-9C23-4D7E-A852-2C9C5347B7CA}"/>
    <cellStyle name="Normal 4 3 4 5" xfId="17799" xr:uid="{7D6CC99D-5C48-421A-927F-A2CB7324D21F}"/>
    <cellStyle name="Normal 4 3 5" xfId="1263" xr:uid="{00000000-0005-0000-0000-0000B0140000}"/>
    <cellStyle name="Normal 4 3 5 2" xfId="3493" xr:uid="{00000000-0005-0000-0000-0000B1140000}"/>
    <cellStyle name="Normal 4 3 5 2 2" xfId="7717" xr:uid="{00000000-0005-0000-0000-0000B2140000}"/>
    <cellStyle name="Normal 4 3 5 2 2 2" xfId="16146" xr:uid="{2054F7D1-31E7-40A7-82B5-2D255E9D6F48}"/>
    <cellStyle name="Normal 4 3 5 2 2 3" xfId="24574" xr:uid="{9632A0A2-1CB4-40DD-A6B7-A864AEB39FD8}"/>
    <cellStyle name="Normal 4 3 5 2 3" xfId="11928" xr:uid="{B64AD4A3-34AB-4C5C-9674-4299CD1E9A34}"/>
    <cellStyle name="Normal 4 3 5 2 4" xfId="20357" xr:uid="{1CA34EE2-295C-44DD-A2B1-594ACB67EF06}"/>
    <cellStyle name="Normal 4 3 5 3" xfId="5572" xr:uid="{00000000-0005-0000-0000-0000B3140000}"/>
    <cellStyle name="Normal 4 3 5 3 2" xfId="14001" xr:uid="{EB087048-E884-4901-87DB-D7E28713EC42}"/>
    <cellStyle name="Normal 4 3 5 3 3" xfId="22429" xr:uid="{58603A23-DFDF-423E-918B-7C07C640B234}"/>
    <cellStyle name="Normal 4 3 5 4" xfId="9783" xr:uid="{78609590-3097-4605-9D9C-0F6654F656DB}"/>
    <cellStyle name="Normal 4 3 5 5" xfId="18212" xr:uid="{8E7B8A47-B3C6-4EA3-AA1B-E1833074BE8B}"/>
    <cellStyle name="Normal 4 3 6" xfId="1676" xr:uid="{00000000-0005-0000-0000-0000B4140000}"/>
    <cellStyle name="Normal 4 3 6 2" xfId="3906" xr:uid="{00000000-0005-0000-0000-0000B5140000}"/>
    <cellStyle name="Normal 4 3 6 2 2" xfId="8130" xr:uid="{00000000-0005-0000-0000-0000B6140000}"/>
    <cellStyle name="Normal 4 3 6 2 2 2" xfId="16559" xr:uid="{D130A63A-F094-414D-AB30-64FCD599F5B7}"/>
    <cellStyle name="Normal 4 3 6 2 2 3" xfId="24987" xr:uid="{92001B67-5EDD-4C12-A21B-12568B49E906}"/>
    <cellStyle name="Normal 4 3 6 2 3" xfId="12341" xr:uid="{90015CEB-CEE9-4CAB-94B7-13ECAEF8E84C}"/>
    <cellStyle name="Normal 4 3 6 2 4" xfId="20770" xr:uid="{01C57C7D-FEC3-4222-A2CC-3FEF2788A9CA}"/>
    <cellStyle name="Normal 4 3 6 3" xfId="5985" xr:uid="{00000000-0005-0000-0000-0000B7140000}"/>
    <cellStyle name="Normal 4 3 6 3 2" xfId="14414" xr:uid="{619903CA-E133-442F-8973-8A6453A213EE}"/>
    <cellStyle name="Normal 4 3 6 3 3" xfId="22842" xr:uid="{5665B3A5-E8A0-4580-80A8-27D313432BA0}"/>
    <cellStyle name="Normal 4 3 6 4" xfId="10196" xr:uid="{22593122-8667-4257-8EF0-410FA2C3EF96}"/>
    <cellStyle name="Normal 4 3 6 5" xfId="18625" xr:uid="{0B35EAB5-8848-4CF7-A1AF-DD1EDFA0A168}"/>
    <cellStyle name="Normal 4 3 7" xfId="2090" xr:uid="{00000000-0005-0000-0000-0000B8140000}"/>
    <cellStyle name="Normal 4 3 7 2" xfId="4319" xr:uid="{00000000-0005-0000-0000-0000B9140000}"/>
    <cellStyle name="Normal 4 3 7 2 2" xfId="8543" xr:uid="{00000000-0005-0000-0000-0000BA140000}"/>
    <cellStyle name="Normal 4 3 7 2 2 2" xfId="16972" xr:uid="{E98AA9E8-74D5-485C-98F7-9850DA201EC6}"/>
    <cellStyle name="Normal 4 3 7 2 2 3" xfId="25400" xr:uid="{72BB8304-9A9C-46B2-8471-ED19F6C8E2A6}"/>
    <cellStyle name="Normal 4 3 7 2 3" xfId="12754" xr:uid="{E4213574-E8D8-4AB1-A41F-5598FEE2E593}"/>
    <cellStyle name="Normal 4 3 7 2 4" xfId="21183" xr:uid="{BBB6ACE7-2760-4C60-9886-EA910A80663E}"/>
    <cellStyle name="Normal 4 3 7 3" xfId="6398" xr:uid="{00000000-0005-0000-0000-0000BB140000}"/>
    <cellStyle name="Normal 4 3 7 3 2" xfId="14827" xr:uid="{2E298092-E920-4B48-8853-1F08DAD805BA}"/>
    <cellStyle name="Normal 4 3 7 3 3" xfId="23255" xr:uid="{40146FBF-BEC8-4AE4-AE41-220A3311E18D}"/>
    <cellStyle name="Normal 4 3 7 4" xfId="10609" xr:uid="{CEF4DD34-205B-499C-AC18-E39D4B553719}"/>
    <cellStyle name="Normal 4 3 7 5" xfId="19038" xr:uid="{55F20AFC-0A03-45C1-942B-4225E4A0FCB7}"/>
    <cellStyle name="Normal 4 3 8" xfId="2526" xr:uid="{00000000-0005-0000-0000-0000BC140000}"/>
    <cellStyle name="Normal 4 3 8 2" xfId="6811" xr:uid="{00000000-0005-0000-0000-0000BD140000}"/>
    <cellStyle name="Normal 4 3 8 2 2" xfId="15240" xr:uid="{D7EDB54E-2ECD-4AF3-951F-3EBA8F4F27FB}"/>
    <cellStyle name="Normal 4 3 8 2 3" xfId="23668" xr:uid="{CAE134DD-2165-4DEA-9999-6DC387D380A0}"/>
    <cellStyle name="Normal 4 3 8 3" xfId="11022" xr:uid="{9E78B208-1B23-4A3E-9F2D-00FD4E1D3B34}"/>
    <cellStyle name="Normal 4 3 8 4" xfId="19451" xr:uid="{7899BA72-CBC9-4550-BC00-2B029171014A}"/>
    <cellStyle name="Normal 4 3 9" xfId="4746" xr:uid="{00000000-0005-0000-0000-0000BE140000}"/>
    <cellStyle name="Normal 4 3 9 2" xfId="13175" xr:uid="{57D71298-EDD6-4A4D-903E-3485BD5F5135}"/>
    <cellStyle name="Normal 4 3 9 3" xfId="21603" xr:uid="{EAEA9CF9-A5A1-4E32-805A-FF20C1C22D92}"/>
    <cellStyle name="Normal 4 4" xfId="378" xr:uid="{00000000-0005-0000-0000-0000BF140000}"/>
    <cellStyle name="Normal 4 4 10" xfId="2535" xr:uid="{00000000-0005-0000-0000-0000C0140000}"/>
    <cellStyle name="Normal 4 4 10 2" xfId="6820" xr:uid="{00000000-0005-0000-0000-0000C1140000}"/>
    <cellStyle name="Normal 4 4 10 2 2" xfId="15249" xr:uid="{3E658409-C6E1-491D-891E-7E126564256C}"/>
    <cellStyle name="Normal 4 4 10 2 3" xfId="23677" xr:uid="{77077F15-6B37-4DD0-8BD2-4176B7FF9F64}"/>
    <cellStyle name="Normal 4 4 10 3" xfId="11031" xr:uid="{05EEC9A2-727F-4D64-AACA-FE70901D667B}"/>
    <cellStyle name="Normal 4 4 10 4" xfId="19460" xr:uid="{8D093FFA-38D9-4A0A-B1A9-0C4CA187E4BA}"/>
    <cellStyle name="Normal 4 4 11" xfId="4755" xr:uid="{00000000-0005-0000-0000-0000C2140000}"/>
    <cellStyle name="Normal 4 4 11 2" xfId="13184" xr:uid="{9A44EC1D-DB1F-469D-A3A0-8CEF131374F3}"/>
    <cellStyle name="Normal 4 4 11 3" xfId="21612" xr:uid="{E74C8F5E-3AAD-46B6-801A-38167389D678}"/>
    <cellStyle name="Normal 4 4 12" xfId="8966" xr:uid="{362EBFC4-F814-42CC-B01F-435975807EE4}"/>
    <cellStyle name="Normal 4 4 13" xfId="17395" xr:uid="{2686F05D-BC57-4E57-A277-4ECC6D6615E1}"/>
    <cellStyle name="Normal 4 4 2" xfId="379" xr:uid="{00000000-0005-0000-0000-0000C3140000}"/>
    <cellStyle name="Normal 4 4 2 10" xfId="4756" xr:uid="{00000000-0005-0000-0000-0000C4140000}"/>
    <cellStyle name="Normal 4 4 2 10 2" xfId="13185" xr:uid="{B6A0B10C-469E-42AF-9BB9-B5C0B0FD911A}"/>
    <cellStyle name="Normal 4 4 2 10 3" xfId="21613" xr:uid="{3F9D5F84-BA52-4BA8-A236-ADC06256C302}"/>
    <cellStyle name="Normal 4 4 2 11" xfId="8967" xr:uid="{349367ED-C72F-4E0F-A68E-F960A6D75A32}"/>
    <cellStyle name="Normal 4 4 2 12" xfId="17396" xr:uid="{7037E5D3-63A3-4BF1-B25F-929683AE26EA}"/>
    <cellStyle name="Normal 4 4 2 2" xfId="380" xr:uid="{00000000-0005-0000-0000-0000C5140000}"/>
    <cellStyle name="Normal 4 4 2 2 10" xfId="8968" xr:uid="{9D595175-B1A2-4D53-B123-6B57C28AFA82}"/>
    <cellStyle name="Normal 4 4 2 2 11" xfId="17397" xr:uid="{5A984043-571D-47C3-ABD4-630A4A93603B}"/>
    <cellStyle name="Normal 4 4 2 2 2" xfId="381" xr:uid="{00000000-0005-0000-0000-0000C6140000}"/>
    <cellStyle name="Normal 4 4 2 2 2 10" xfId="17398" xr:uid="{F7B40657-0AD3-412F-B7B2-5F6418D04179}"/>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46" xr:uid="{D64023C5-8143-410E-9E1A-BD7B2DD5477A}"/>
    <cellStyle name="Normal 4 4 2 2 2 2 2 2 2 3" xfId="24174" xr:uid="{1691489B-01E9-409F-B1BE-9DAC9108E141}"/>
    <cellStyle name="Normal 4 4 2 2 2 2 2 2 3" xfId="11528" xr:uid="{AE5C5076-4C86-4C69-B089-E23F5FD57525}"/>
    <cellStyle name="Normal 4 4 2 2 2 2 2 2 4" xfId="19957" xr:uid="{CCB471AA-AF65-4C8E-916A-EDFAD7754AF4}"/>
    <cellStyle name="Normal 4 4 2 2 2 2 2 3" xfId="5172" xr:uid="{00000000-0005-0000-0000-0000CB140000}"/>
    <cellStyle name="Normal 4 4 2 2 2 2 2 3 2" xfId="13601" xr:uid="{F0711642-97B8-44C9-B483-B077A4527531}"/>
    <cellStyle name="Normal 4 4 2 2 2 2 2 3 3" xfId="22029" xr:uid="{104FE31E-496A-453C-B86E-80F46F989971}"/>
    <cellStyle name="Normal 4 4 2 2 2 2 2 4" xfId="9383" xr:uid="{55740B9E-E275-479D-B6B2-31FD0A3B6A5E}"/>
    <cellStyle name="Normal 4 4 2 2 2 2 2 5" xfId="17812" xr:uid="{13B66081-60F1-4EB9-A8FB-D94917A88CC7}"/>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9" xr:uid="{B1FD97A3-C5DC-4A2A-964A-8BA26BCECE71}"/>
    <cellStyle name="Normal 4 4 2 2 2 2 3 2 2 3" xfId="24587" xr:uid="{C4D64FC1-366D-4FB0-9FDA-B6CF66DE3202}"/>
    <cellStyle name="Normal 4 4 2 2 2 2 3 2 3" xfId="11941" xr:uid="{A06D2FA9-D2DB-437E-BFBD-76FE9641D7EA}"/>
    <cellStyle name="Normal 4 4 2 2 2 2 3 2 4" xfId="20370" xr:uid="{4FB94B71-99C7-4095-886C-CEBA2C544620}"/>
    <cellStyle name="Normal 4 4 2 2 2 2 3 3" xfId="5585" xr:uid="{00000000-0005-0000-0000-0000CF140000}"/>
    <cellStyle name="Normal 4 4 2 2 2 2 3 3 2" xfId="14014" xr:uid="{5334255D-D6E0-47FE-8E69-46F48D83BE18}"/>
    <cellStyle name="Normal 4 4 2 2 2 2 3 3 3" xfId="22442" xr:uid="{AF156669-6135-4C54-933F-39BA7134B9D1}"/>
    <cellStyle name="Normal 4 4 2 2 2 2 3 4" xfId="9796" xr:uid="{3EF5712A-730C-411D-B68D-F5629DC89A9B}"/>
    <cellStyle name="Normal 4 4 2 2 2 2 3 5" xfId="18225" xr:uid="{4D57ED77-F3A6-404D-B328-C1F1A8DE61B3}"/>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72" xr:uid="{8FECD110-83B0-42FD-B26E-80A932D389F8}"/>
    <cellStyle name="Normal 4 4 2 2 2 2 4 2 2 3" xfId="25000" xr:uid="{339CFD71-10E7-4E1C-82DB-AB292AB40E3E}"/>
    <cellStyle name="Normal 4 4 2 2 2 2 4 2 3" xfId="12354" xr:uid="{A60CE7C4-FA70-45C0-A371-4132E0BFC4A0}"/>
    <cellStyle name="Normal 4 4 2 2 2 2 4 2 4" xfId="20783" xr:uid="{F12B74C7-5DDC-4F35-A2B8-055DDD9A5656}"/>
    <cellStyle name="Normal 4 4 2 2 2 2 4 3" xfId="5998" xr:uid="{00000000-0005-0000-0000-0000D3140000}"/>
    <cellStyle name="Normal 4 4 2 2 2 2 4 3 2" xfId="14427" xr:uid="{6BF7B926-8CBA-4D8E-94E1-62AAC8E929B5}"/>
    <cellStyle name="Normal 4 4 2 2 2 2 4 3 3" xfId="22855" xr:uid="{2D64420D-BCDF-4C2A-90BD-B755CE52EC51}"/>
    <cellStyle name="Normal 4 4 2 2 2 2 4 4" xfId="10209" xr:uid="{28C12E07-F83E-4483-95EA-36394560F898}"/>
    <cellStyle name="Normal 4 4 2 2 2 2 4 5" xfId="18638" xr:uid="{ED8543B3-0591-480C-9344-22FA9CD66EB7}"/>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85" xr:uid="{7156F4F2-9E18-49B1-A22B-CF90A447F0FA}"/>
    <cellStyle name="Normal 4 4 2 2 2 2 5 2 2 3" xfId="25413" xr:uid="{CBF83993-D2D8-4831-98CF-D9C299B8447F}"/>
    <cellStyle name="Normal 4 4 2 2 2 2 5 2 3" xfId="12767" xr:uid="{EC65CE3C-5EF5-4961-9611-3FD12AAC7D6D}"/>
    <cellStyle name="Normal 4 4 2 2 2 2 5 2 4" xfId="21196" xr:uid="{7B16B88B-B6FC-4BA9-B5E1-028466407953}"/>
    <cellStyle name="Normal 4 4 2 2 2 2 5 3" xfId="6411" xr:uid="{00000000-0005-0000-0000-0000D7140000}"/>
    <cellStyle name="Normal 4 4 2 2 2 2 5 3 2" xfId="14840" xr:uid="{66C6617E-FA17-4D23-8AFB-0826A2D0F90D}"/>
    <cellStyle name="Normal 4 4 2 2 2 2 5 3 3" xfId="23268" xr:uid="{7457FCAE-81D9-477B-A03B-AB9903754AB5}"/>
    <cellStyle name="Normal 4 4 2 2 2 2 5 4" xfId="10622" xr:uid="{74603989-F104-4B13-8659-8F953D6890AD}"/>
    <cellStyle name="Normal 4 4 2 2 2 2 5 5" xfId="19051" xr:uid="{8AFF171F-47B3-44E7-A735-9A3AAC2C3A22}"/>
    <cellStyle name="Normal 4 4 2 2 2 2 6" xfId="2539" xr:uid="{00000000-0005-0000-0000-0000D8140000}"/>
    <cellStyle name="Normal 4 4 2 2 2 2 6 2" xfId="6824" xr:uid="{00000000-0005-0000-0000-0000D9140000}"/>
    <cellStyle name="Normal 4 4 2 2 2 2 6 2 2" xfId="15253" xr:uid="{0694D914-BBB6-4E3F-8C29-569ECCBC87D0}"/>
    <cellStyle name="Normal 4 4 2 2 2 2 6 2 3" xfId="23681" xr:uid="{38D7821C-03A7-43D6-9D2D-0FDB90D46EA2}"/>
    <cellStyle name="Normal 4 4 2 2 2 2 6 3" xfId="11035" xr:uid="{36365927-66CB-443C-8380-657CD67BF398}"/>
    <cellStyle name="Normal 4 4 2 2 2 2 6 4" xfId="19464" xr:uid="{B9042B16-2E2C-40CA-A407-A69BF077E1BD}"/>
    <cellStyle name="Normal 4 4 2 2 2 2 7" xfId="4759" xr:uid="{00000000-0005-0000-0000-0000DA140000}"/>
    <cellStyle name="Normal 4 4 2 2 2 2 7 2" xfId="13188" xr:uid="{21F54B2E-1209-4DFF-8873-7AE4CC7EE6AA}"/>
    <cellStyle name="Normal 4 4 2 2 2 2 7 3" xfId="21616" xr:uid="{4E2374B2-37A8-465A-85CD-8AAE49AA328C}"/>
    <cellStyle name="Normal 4 4 2 2 2 2 8" xfId="8970" xr:uid="{BF57CCBD-C664-4158-A733-DD2DA4BCF792}"/>
    <cellStyle name="Normal 4 4 2 2 2 2 9" xfId="17399" xr:uid="{35EF948F-F8BD-4FB2-B359-3269E3D2C47E}"/>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45" xr:uid="{D3F782FF-4A5A-438C-9799-E6A9091A5A20}"/>
    <cellStyle name="Normal 4 4 2 2 2 3 2 2 3" xfId="24173" xr:uid="{B789DE11-4276-49BD-BFE2-1F53CBC094D5}"/>
    <cellStyle name="Normal 4 4 2 2 2 3 2 3" xfId="11527" xr:uid="{B55FA2B0-67EB-42E8-AEAF-0DC8791051F1}"/>
    <cellStyle name="Normal 4 4 2 2 2 3 2 4" xfId="19956" xr:uid="{0CB8482E-76CE-472F-A47F-D99D808341D1}"/>
    <cellStyle name="Normal 4 4 2 2 2 3 3" xfId="5171" xr:uid="{00000000-0005-0000-0000-0000DE140000}"/>
    <cellStyle name="Normal 4 4 2 2 2 3 3 2" xfId="13600" xr:uid="{FC3E51AC-64D1-4BF1-AA5C-B8275B346510}"/>
    <cellStyle name="Normal 4 4 2 2 2 3 3 3" xfId="22028" xr:uid="{FD631231-B25C-4DAD-BF33-E0FF9813457F}"/>
    <cellStyle name="Normal 4 4 2 2 2 3 4" xfId="9382" xr:uid="{3E789C42-0574-4E07-9171-EC8F4AC75AC0}"/>
    <cellStyle name="Normal 4 4 2 2 2 3 5" xfId="17811" xr:uid="{5AC96F35-DFBD-42FA-ACFE-B74A31C40938}"/>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8" xr:uid="{96633390-3DE9-4A96-A2B1-93CC4043396D}"/>
    <cellStyle name="Normal 4 4 2 2 2 4 2 2 3" xfId="24586" xr:uid="{E124DC10-99EC-4E22-B008-A73F5F2E3A11}"/>
    <cellStyle name="Normal 4 4 2 2 2 4 2 3" xfId="11940" xr:uid="{B8377E1D-624C-41F3-B524-86B19F890721}"/>
    <cellStyle name="Normal 4 4 2 2 2 4 2 4" xfId="20369" xr:uid="{D7E3D425-0B02-4AAD-A5BB-1E4F9F4DE827}"/>
    <cellStyle name="Normal 4 4 2 2 2 4 3" xfId="5584" xr:uid="{00000000-0005-0000-0000-0000E2140000}"/>
    <cellStyle name="Normal 4 4 2 2 2 4 3 2" xfId="14013" xr:uid="{AA50F8D9-DCD1-48FE-A327-101E9C6E97C3}"/>
    <cellStyle name="Normal 4 4 2 2 2 4 3 3" xfId="22441" xr:uid="{65663A68-D6A6-4FA8-9321-E2DEE2430FB7}"/>
    <cellStyle name="Normal 4 4 2 2 2 4 4" xfId="9795" xr:uid="{EA061C72-A84C-4B01-A749-50B54FAE67B6}"/>
    <cellStyle name="Normal 4 4 2 2 2 4 5" xfId="18224" xr:uid="{97EAB047-640C-487B-8512-0F7720E25316}"/>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71" xr:uid="{A288A562-F771-4DB2-92A5-C36F55FF45C7}"/>
    <cellStyle name="Normal 4 4 2 2 2 5 2 2 3" xfId="24999" xr:uid="{F62B9912-3649-44C5-B8E7-FC98D774781E}"/>
    <cellStyle name="Normal 4 4 2 2 2 5 2 3" xfId="12353" xr:uid="{711DEB60-E10C-423C-B511-F531CBF926D7}"/>
    <cellStyle name="Normal 4 4 2 2 2 5 2 4" xfId="20782" xr:uid="{9E92CB31-6353-4AC0-B71E-A8A7B76BAADF}"/>
    <cellStyle name="Normal 4 4 2 2 2 5 3" xfId="5997" xr:uid="{00000000-0005-0000-0000-0000E6140000}"/>
    <cellStyle name="Normal 4 4 2 2 2 5 3 2" xfId="14426" xr:uid="{C117110E-0803-4094-BB23-7257FB7979C2}"/>
    <cellStyle name="Normal 4 4 2 2 2 5 3 3" xfId="22854" xr:uid="{5A55242F-92DB-458A-BE28-DEAAFAB1821E}"/>
    <cellStyle name="Normal 4 4 2 2 2 5 4" xfId="10208" xr:uid="{108A8A84-563E-4983-A974-E7E287FBACDD}"/>
    <cellStyle name="Normal 4 4 2 2 2 5 5" xfId="18637" xr:uid="{BEBB159F-EB86-4183-9161-9E307A9687CE}"/>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84" xr:uid="{7D5858E4-1BBC-4CC2-8938-60D46F0910A4}"/>
    <cellStyle name="Normal 4 4 2 2 2 6 2 2 3" xfId="25412" xr:uid="{48F38163-19A8-4DAE-A9DB-51435FE162E7}"/>
    <cellStyle name="Normal 4 4 2 2 2 6 2 3" xfId="12766" xr:uid="{94625CF7-60BB-4EE3-BC85-1802E728E050}"/>
    <cellStyle name="Normal 4 4 2 2 2 6 2 4" xfId="21195" xr:uid="{A3FE582B-7101-4718-A0D6-2160A787D1DD}"/>
    <cellStyle name="Normal 4 4 2 2 2 6 3" xfId="6410" xr:uid="{00000000-0005-0000-0000-0000EA140000}"/>
    <cellStyle name="Normal 4 4 2 2 2 6 3 2" xfId="14839" xr:uid="{45561765-0523-4A02-8DF9-8BD7A907EEFD}"/>
    <cellStyle name="Normal 4 4 2 2 2 6 3 3" xfId="23267" xr:uid="{930A40C2-C67A-48BD-8EEE-3084A57BC050}"/>
    <cellStyle name="Normal 4 4 2 2 2 6 4" xfId="10621" xr:uid="{E61AAB27-1A03-40C2-ACAC-E3AA1AD9A701}"/>
    <cellStyle name="Normal 4 4 2 2 2 6 5" xfId="19050" xr:uid="{5B4A7F49-CD6B-4F7F-B2C5-7F0A007F6591}"/>
    <cellStyle name="Normal 4 4 2 2 2 7" xfId="2538" xr:uid="{00000000-0005-0000-0000-0000EB140000}"/>
    <cellStyle name="Normal 4 4 2 2 2 7 2" xfId="6823" xr:uid="{00000000-0005-0000-0000-0000EC140000}"/>
    <cellStyle name="Normal 4 4 2 2 2 7 2 2" xfId="15252" xr:uid="{4B2FCF01-32E9-4FB0-9096-F84B2E799C2C}"/>
    <cellStyle name="Normal 4 4 2 2 2 7 2 3" xfId="23680" xr:uid="{E8CEB08B-F389-4734-8800-782C80F44BFE}"/>
    <cellStyle name="Normal 4 4 2 2 2 7 3" xfId="11034" xr:uid="{D37102BE-EAD3-42A7-9A0C-8538A878EB5D}"/>
    <cellStyle name="Normal 4 4 2 2 2 7 4" xfId="19463" xr:uid="{0A443AAB-C57F-4668-80BF-DCC1332CF188}"/>
    <cellStyle name="Normal 4 4 2 2 2 8" xfId="4758" xr:uid="{00000000-0005-0000-0000-0000ED140000}"/>
    <cellStyle name="Normal 4 4 2 2 2 8 2" xfId="13187" xr:uid="{89137B0A-203A-486A-9ABF-4AF75D6FD83C}"/>
    <cellStyle name="Normal 4 4 2 2 2 8 3" xfId="21615" xr:uid="{1303004F-8D93-42DC-B342-00D6B6638679}"/>
    <cellStyle name="Normal 4 4 2 2 2 9" xfId="8969" xr:uid="{A422F38E-6EC8-4061-A551-B5F20740854C}"/>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7" xr:uid="{CFC35675-C0F3-45FC-A3D5-39CAFA2F8889}"/>
    <cellStyle name="Normal 4 4 2 2 3 2 2 2 3" xfId="24175" xr:uid="{CE71F72D-8D9C-43DE-9AA8-35046A13023F}"/>
    <cellStyle name="Normal 4 4 2 2 3 2 2 3" xfId="11529" xr:uid="{CD619B14-22A5-4C90-A85F-631A63E87D74}"/>
    <cellStyle name="Normal 4 4 2 2 3 2 2 4" xfId="19958" xr:uid="{B599ABDA-B489-4A0A-B40D-65B3E77EEA8E}"/>
    <cellStyle name="Normal 4 4 2 2 3 2 3" xfId="5173" xr:uid="{00000000-0005-0000-0000-0000F2140000}"/>
    <cellStyle name="Normal 4 4 2 2 3 2 3 2" xfId="13602" xr:uid="{3F0D5FD5-FB0A-4004-A348-7307425280DA}"/>
    <cellStyle name="Normal 4 4 2 2 3 2 3 3" xfId="22030" xr:uid="{6B352B15-2163-4608-9A77-FC2C5705D813}"/>
    <cellStyle name="Normal 4 4 2 2 3 2 4" xfId="9384" xr:uid="{B8A950F4-6B4E-4BE7-856D-E7D690FF6321}"/>
    <cellStyle name="Normal 4 4 2 2 3 2 5" xfId="17813" xr:uid="{D0829038-B812-436C-B77A-7B931A3823AD}"/>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60" xr:uid="{F3444B44-74BB-4135-88FD-95155B022638}"/>
    <cellStyle name="Normal 4 4 2 2 3 3 2 2 3" xfId="24588" xr:uid="{840BB031-D9AB-41BD-BE10-D4ABB919A25C}"/>
    <cellStyle name="Normal 4 4 2 2 3 3 2 3" xfId="11942" xr:uid="{33CDDA60-13FA-4F0D-9BED-E67F821FF69E}"/>
    <cellStyle name="Normal 4 4 2 2 3 3 2 4" xfId="20371" xr:uid="{0EC73499-E76F-45D8-A18D-D2E2FEC02BB5}"/>
    <cellStyle name="Normal 4 4 2 2 3 3 3" xfId="5586" xr:uid="{00000000-0005-0000-0000-0000F6140000}"/>
    <cellStyle name="Normal 4 4 2 2 3 3 3 2" xfId="14015" xr:uid="{7FF5E6DE-343A-4301-9ED9-6785D63EB556}"/>
    <cellStyle name="Normal 4 4 2 2 3 3 3 3" xfId="22443" xr:uid="{622FC5D6-4816-4392-9A3D-1B40C41A973C}"/>
    <cellStyle name="Normal 4 4 2 2 3 3 4" xfId="9797" xr:uid="{5AAF6D95-7222-454E-AAE4-4E112F2CFB27}"/>
    <cellStyle name="Normal 4 4 2 2 3 3 5" xfId="18226" xr:uid="{A29170DE-801C-4E9E-AA9F-FB29D8809A2E}"/>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73" xr:uid="{D646B82E-08D4-4DD1-8C90-957C6C438842}"/>
    <cellStyle name="Normal 4 4 2 2 3 4 2 2 3" xfId="25001" xr:uid="{4F923834-0112-4EF8-BAF7-FAC4F5019ABA}"/>
    <cellStyle name="Normal 4 4 2 2 3 4 2 3" xfId="12355" xr:uid="{2180A92A-E331-4C80-977B-38CFF9BEC605}"/>
    <cellStyle name="Normal 4 4 2 2 3 4 2 4" xfId="20784" xr:uid="{CBE9E6E5-3B47-4E65-90B6-7AA93FFEFB12}"/>
    <cellStyle name="Normal 4 4 2 2 3 4 3" xfId="5999" xr:uid="{00000000-0005-0000-0000-0000FA140000}"/>
    <cellStyle name="Normal 4 4 2 2 3 4 3 2" xfId="14428" xr:uid="{69EEEA80-F238-4A59-8722-440A7C167B87}"/>
    <cellStyle name="Normal 4 4 2 2 3 4 3 3" xfId="22856" xr:uid="{69865557-CD8E-4BF7-9D71-B1BC80A1B758}"/>
    <cellStyle name="Normal 4 4 2 2 3 4 4" xfId="10210" xr:uid="{7D5636CC-32C2-4907-9779-57321767142A}"/>
    <cellStyle name="Normal 4 4 2 2 3 4 5" xfId="18639" xr:uid="{08924805-24FD-4C88-AF01-173E4B2313CF}"/>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86" xr:uid="{AD4B9611-79BD-4750-A43D-44B2B25127D7}"/>
    <cellStyle name="Normal 4 4 2 2 3 5 2 2 3" xfId="25414" xr:uid="{1DEB9E0B-0A6E-4617-ADE2-50BC5A284A2F}"/>
    <cellStyle name="Normal 4 4 2 2 3 5 2 3" xfId="12768" xr:uid="{1C322085-F827-4468-A4C0-C24C1B7076D0}"/>
    <cellStyle name="Normal 4 4 2 2 3 5 2 4" xfId="21197" xr:uid="{A86D2CAD-07C2-4CF5-A312-FB7647368E59}"/>
    <cellStyle name="Normal 4 4 2 2 3 5 3" xfId="6412" xr:uid="{00000000-0005-0000-0000-0000FE140000}"/>
    <cellStyle name="Normal 4 4 2 2 3 5 3 2" xfId="14841" xr:uid="{8A38D55A-3DAE-4E01-8CCF-029ADACD028A}"/>
    <cellStyle name="Normal 4 4 2 2 3 5 3 3" xfId="23269" xr:uid="{99A9044A-DDB8-42A3-A697-C959880B265B}"/>
    <cellStyle name="Normal 4 4 2 2 3 5 4" xfId="10623" xr:uid="{19A88279-BB3C-48B8-BC0F-1259F3B1F52C}"/>
    <cellStyle name="Normal 4 4 2 2 3 5 5" xfId="19052" xr:uid="{A15F8582-1EBF-4BBD-8E02-8FE13C3A2CF0}"/>
    <cellStyle name="Normal 4 4 2 2 3 6" xfId="2540" xr:uid="{00000000-0005-0000-0000-0000FF140000}"/>
    <cellStyle name="Normal 4 4 2 2 3 6 2" xfId="6825" xr:uid="{00000000-0005-0000-0000-000000150000}"/>
    <cellStyle name="Normal 4 4 2 2 3 6 2 2" xfId="15254" xr:uid="{540F336A-3824-4163-8FE1-973A12A07917}"/>
    <cellStyle name="Normal 4 4 2 2 3 6 2 3" xfId="23682" xr:uid="{D3E0E629-DF26-4100-8CAB-CC40D4BD77FE}"/>
    <cellStyle name="Normal 4 4 2 2 3 6 3" xfId="11036" xr:uid="{16B93A0B-0AB3-4EF7-AE96-F637C509AAA2}"/>
    <cellStyle name="Normal 4 4 2 2 3 6 4" xfId="19465" xr:uid="{85E105B1-6C2E-48AC-B03F-7BE2B0682668}"/>
    <cellStyle name="Normal 4 4 2 2 3 7" xfId="4760" xr:uid="{00000000-0005-0000-0000-000001150000}"/>
    <cellStyle name="Normal 4 4 2 2 3 7 2" xfId="13189" xr:uid="{3EECEC3A-B658-4533-BF22-F6B7EB6190ED}"/>
    <cellStyle name="Normal 4 4 2 2 3 7 3" xfId="21617" xr:uid="{1922C0B7-BD1E-418C-9730-DB39EBD61B69}"/>
    <cellStyle name="Normal 4 4 2 2 3 8" xfId="8971" xr:uid="{06E7A00D-A826-43DC-BF76-FCD1B8A1BB89}"/>
    <cellStyle name="Normal 4 4 2 2 3 9" xfId="17400" xr:uid="{F495DCD5-ED53-4A25-B537-224BB96613A1}"/>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44" xr:uid="{452AE699-DA07-4E9A-ADCC-BEFC2C3DE4B4}"/>
    <cellStyle name="Normal 4 4 2 2 4 2 2 3" xfId="24172" xr:uid="{F90775FE-185E-4825-A828-3D8D2F1A1891}"/>
    <cellStyle name="Normal 4 4 2 2 4 2 3" xfId="11526" xr:uid="{33FBBF24-D3D8-4B90-945A-E58EB1F319F8}"/>
    <cellStyle name="Normal 4 4 2 2 4 2 4" xfId="19955" xr:uid="{99674A48-5C2F-4813-B281-E88047AF3F54}"/>
    <cellStyle name="Normal 4 4 2 2 4 3" xfId="5170" xr:uid="{00000000-0005-0000-0000-000005150000}"/>
    <cellStyle name="Normal 4 4 2 2 4 3 2" xfId="13599" xr:uid="{06C6DCA4-2DF5-4027-BDF7-E81913BA8C85}"/>
    <cellStyle name="Normal 4 4 2 2 4 3 3" xfId="22027" xr:uid="{73FDE7F9-0605-4E7C-A96A-DC5686D9B085}"/>
    <cellStyle name="Normal 4 4 2 2 4 4" xfId="9381" xr:uid="{001FCB73-3C91-4282-9B86-A6770D927DA3}"/>
    <cellStyle name="Normal 4 4 2 2 4 5" xfId="17810" xr:uid="{46395490-3868-4250-A020-823D09CFEA1A}"/>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7" xr:uid="{C807C436-CA51-4952-ACDA-F7D21B2C66DA}"/>
    <cellStyle name="Normal 4 4 2 2 5 2 2 3" xfId="24585" xr:uid="{41A3318F-4C35-4D3F-84A2-67139EC1F448}"/>
    <cellStyle name="Normal 4 4 2 2 5 2 3" xfId="11939" xr:uid="{12780C63-B35A-4C78-BE9B-D45C70FBE997}"/>
    <cellStyle name="Normal 4 4 2 2 5 2 4" xfId="20368" xr:uid="{EFED0902-7682-4F82-8B17-93A6C95847A2}"/>
    <cellStyle name="Normal 4 4 2 2 5 3" xfId="5583" xr:uid="{00000000-0005-0000-0000-000009150000}"/>
    <cellStyle name="Normal 4 4 2 2 5 3 2" xfId="14012" xr:uid="{1DCD8E52-B94F-4A58-AB4C-676746C6F8FB}"/>
    <cellStyle name="Normal 4 4 2 2 5 3 3" xfId="22440" xr:uid="{74D4C9FB-5242-4C13-A39E-11644A205FEA}"/>
    <cellStyle name="Normal 4 4 2 2 5 4" xfId="9794" xr:uid="{0A81708F-CC95-4B8B-943E-56D93A5A485B}"/>
    <cellStyle name="Normal 4 4 2 2 5 5" xfId="18223" xr:uid="{52651C0B-EE96-45B0-9D27-CA1E2403CF5A}"/>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70" xr:uid="{4EDB70AE-645B-41E5-B6D9-21D13455BC33}"/>
    <cellStyle name="Normal 4 4 2 2 6 2 2 3" xfId="24998" xr:uid="{B3BEE0DF-A5D2-48E4-9FD6-F4460193BD5B}"/>
    <cellStyle name="Normal 4 4 2 2 6 2 3" xfId="12352" xr:uid="{F1DB5D97-4DEF-407E-8D07-9F5F5ABAF5B5}"/>
    <cellStyle name="Normal 4 4 2 2 6 2 4" xfId="20781" xr:uid="{B0744356-6704-422E-8203-BEB4A62C503C}"/>
    <cellStyle name="Normal 4 4 2 2 6 3" xfId="5996" xr:uid="{00000000-0005-0000-0000-00000D150000}"/>
    <cellStyle name="Normal 4 4 2 2 6 3 2" xfId="14425" xr:uid="{BA654829-448E-4888-87B0-ED8BFB4A411E}"/>
    <cellStyle name="Normal 4 4 2 2 6 3 3" xfId="22853" xr:uid="{255A9D6F-559C-46C4-892D-AFE1953C6327}"/>
    <cellStyle name="Normal 4 4 2 2 6 4" xfId="10207" xr:uid="{8377311D-C449-45D5-89AF-F11731A96F99}"/>
    <cellStyle name="Normal 4 4 2 2 6 5" xfId="18636" xr:uid="{B9A8C8F5-B06C-4488-867B-9581E451CDE1}"/>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83" xr:uid="{2A07C88E-1501-4821-A059-AF0A817ADA69}"/>
    <cellStyle name="Normal 4 4 2 2 7 2 2 3" xfId="25411" xr:uid="{AC38E3A2-4C59-4AB1-9A09-96BD58F3FC91}"/>
    <cellStyle name="Normal 4 4 2 2 7 2 3" xfId="12765" xr:uid="{44A9B59B-07F1-46D2-B7B5-AF9587DB2026}"/>
    <cellStyle name="Normal 4 4 2 2 7 2 4" xfId="21194" xr:uid="{FB77FB2B-89C3-42EF-96EF-447C8951E53E}"/>
    <cellStyle name="Normal 4 4 2 2 7 3" xfId="6409" xr:uid="{00000000-0005-0000-0000-000011150000}"/>
    <cellStyle name="Normal 4 4 2 2 7 3 2" xfId="14838" xr:uid="{D2605F8F-A4D7-4DA0-B165-FF34CC57D24C}"/>
    <cellStyle name="Normal 4 4 2 2 7 3 3" xfId="23266" xr:uid="{950AACF0-4586-48E2-998B-63E7BF4E463F}"/>
    <cellStyle name="Normal 4 4 2 2 7 4" xfId="10620" xr:uid="{5E009B7E-0286-4CBD-8675-F04D2948B1B6}"/>
    <cellStyle name="Normal 4 4 2 2 7 5" xfId="19049" xr:uid="{8CBF7CD4-1ACE-4732-9CEA-CA73B42F3E0A}"/>
    <cellStyle name="Normal 4 4 2 2 8" xfId="2537" xr:uid="{00000000-0005-0000-0000-000012150000}"/>
    <cellStyle name="Normal 4 4 2 2 8 2" xfId="6822" xr:uid="{00000000-0005-0000-0000-000013150000}"/>
    <cellStyle name="Normal 4 4 2 2 8 2 2" xfId="15251" xr:uid="{962A7BED-342C-4D59-8FAE-E8B05DDF6A72}"/>
    <cellStyle name="Normal 4 4 2 2 8 2 3" xfId="23679" xr:uid="{01E2F3D8-4E81-4C2C-A649-380DFCE4CA64}"/>
    <cellStyle name="Normal 4 4 2 2 8 3" xfId="11033" xr:uid="{F6624E9D-D215-4F24-835D-090E0BB28CB9}"/>
    <cellStyle name="Normal 4 4 2 2 8 4" xfId="19462" xr:uid="{96FFF032-1656-4EAF-A35A-68F0830D1997}"/>
    <cellStyle name="Normal 4 4 2 2 9" xfId="4757" xr:uid="{00000000-0005-0000-0000-000014150000}"/>
    <cellStyle name="Normal 4 4 2 2 9 2" xfId="13186" xr:uid="{1B586C80-CD8E-46B1-9A92-3265D184449A}"/>
    <cellStyle name="Normal 4 4 2 2 9 3" xfId="21614" xr:uid="{89BB8B0E-1FF0-4AF9-B41B-7206BDFCD2C3}"/>
    <cellStyle name="Normal 4 4 2 3" xfId="384" xr:uid="{00000000-0005-0000-0000-000015150000}"/>
    <cellStyle name="Normal 4 4 2 3 10" xfId="17401" xr:uid="{E0F9CC07-F773-4851-9400-BB8950CF4F38}"/>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9" xr:uid="{80ABE4E5-92B6-4500-B210-B75304EB1D53}"/>
    <cellStyle name="Normal 4 4 2 3 2 2 2 2 3" xfId="24177" xr:uid="{C6F438FE-8DC4-4E8E-BBBE-9AC53485FE6F}"/>
    <cellStyle name="Normal 4 4 2 3 2 2 2 3" xfId="11531" xr:uid="{8413F094-43EE-4CB5-9465-BC037DA74338}"/>
    <cellStyle name="Normal 4 4 2 3 2 2 2 4" xfId="19960" xr:uid="{5CBAAA9E-229D-4222-BF07-4C431F58972E}"/>
    <cellStyle name="Normal 4 4 2 3 2 2 3" xfId="5175" xr:uid="{00000000-0005-0000-0000-00001A150000}"/>
    <cellStyle name="Normal 4 4 2 3 2 2 3 2" xfId="13604" xr:uid="{A0F6E78C-1DEE-4B9F-9683-ADC8CFE69815}"/>
    <cellStyle name="Normal 4 4 2 3 2 2 3 3" xfId="22032" xr:uid="{DF52F5DD-887D-4051-928F-5ECE5E2E98DC}"/>
    <cellStyle name="Normal 4 4 2 3 2 2 4" xfId="9386" xr:uid="{0E21E0DD-69B9-46E3-AD5C-5240DC94F83A}"/>
    <cellStyle name="Normal 4 4 2 3 2 2 5" xfId="17815" xr:uid="{CB107B0A-7EE4-43FD-8721-653932A6462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62" xr:uid="{05D85C77-FB79-4339-B921-93D0E4FC29FF}"/>
    <cellStyle name="Normal 4 4 2 3 2 3 2 2 3" xfId="24590" xr:uid="{06383796-48E4-4AAF-A3FD-A57A081F9A22}"/>
    <cellStyle name="Normal 4 4 2 3 2 3 2 3" xfId="11944" xr:uid="{8CF8C016-BA43-48BC-A694-3A51B9E93C47}"/>
    <cellStyle name="Normal 4 4 2 3 2 3 2 4" xfId="20373" xr:uid="{F68B4865-1F2C-488B-8FE9-96048810ED67}"/>
    <cellStyle name="Normal 4 4 2 3 2 3 3" xfId="5588" xr:uid="{00000000-0005-0000-0000-00001E150000}"/>
    <cellStyle name="Normal 4 4 2 3 2 3 3 2" xfId="14017" xr:uid="{2692351C-D5DB-4D5E-8CB1-4EA77C4E0345}"/>
    <cellStyle name="Normal 4 4 2 3 2 3 3 3" xfId="22445" xr:uid="{3D000C16-7BB2-4F20-8C99-0E0E25884206}"/>
    <cellStyle name="Normal 4 4 2 3 2 3 4" xfId="9799" xr:uid="{781ECDE4-BEDE-4248-AB6C-944DB62FEEC2}"/>
    <cellStyle name="Normal 4 4 2 3 2 3 5" xfId="18228" xr:uid="{5ED0B88F-614B-4654-97B8-93903F2BAF4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75" xr:uid="{D95C9D55-5735-4952-BE01-4C5E0E486766}"/>
    <cellStyle name="Normal 4 4 2 3 2 4 2 2 3" xfId="25003" xr:uid="{392A5DF7-D534-4DEF-A825-0177019759C7}"/>
    <cellStyle name="Normal 4 4 2 3 2 4 2 3" xfId="12357" xr:uid="{29EB4D48-0117-4020-B9EE-D88FDBC673B5}"/>
    <cellStyle name="Normal 4 4 2 3 2 4 2 4" xfId="20786" xr:uid="{B5CF1CE4-B235-414A-8F83-98DB17DA2EE2}"/>
    <cellStyle name="Normal 4 4 2 3 2 4 3" xfId="6001" xr:uid="{00000000-0005-0000-0000-000022150000}"/>
    <cellStyle name="Normal 4 4 2 3 2 4 3 2" xfId="14430" xr:uid="{0F7BE65F-7E81-4889-A6F3-3281B652EB2F}"/>
    <cellStyle name="Normal 4 4 2 3 2 4 3 3" xfId="22858" xr:uid="{DB911EDD-C436-4E64-9411-5228D303DD08}"/>
    <cellStyle name="Normal 4 4 2 3 2 4 4" xfId="10212" xr:uid="{669FDAC1-5FA3-40DC-914F-FE076AAE974C}"/>
    <cellStyle name="Normal 4 4 2 3 2 4 5" xfId="18641" xr:uid="{CF285C84-9C68-48D4-AE8D-38841EB240F1}"/>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8" xr:uid="{6778F14F-3EE2-4127-8151-75E398926640}"/>
    <cellStyle name="Normal 4 4 2 3 2 5 2 2 3" xfId="25416" xr:uid="{4710FFA0-1547-4126-9A55-D26BC7D07BF2}"/>
    <cellStyle name="Normal 4 4 2 3 2 5 2 3" xfId="12770" xr:uid="{47C5311E-5859-4984-B2D5-4BDB48C5EB0E}"/>
    <cellStyle name="Normal 4 4 2 3 2 5 2 4" xfId="21199" xr:uid="{846A7C84-2485-4BE2-BFAA-D615D198DA07}"/>
    <cellStyle name="Normal 4 4 2 3 2 5 3" xfId="6414" xr:uid="{00000000-0005-0000-0000-000026150000}"/>
    <cellStyle name="Normal 4 4 2 3 2 5 3 2" xfId="14843" xr:uid="{1BD39DB3-032D-4CA3-BD06-F2A28755815B}"/>
    <cellStyle name="Normal 4 4 2 3 2 5 3 3" xfId="23271" xr:uid="{2B8382BB-7308-48CF-A127-ED049FC7880C}"/>
    <cellStyle name="Normal 4 4 2 3 2 5 4" xfId="10625" xr:uid="{00DE91AB-24B8-40B1-A505-9F72AF95F050}"/>
    <cellStyle name="Normal 4 4 2 3 2 5 5" xfId="19054" xr:uid="{EC4A4CFB-BAEA-4FFA-80ED-89FAE99C34B2}"/>
    <cellStyle name="Normal 4 4 2 3 2 6" xfId="2542" xr:uid="{00000000-0005-0000-0000-000027150000}"/>
    <cellStyle name="Normal 4 4 2 3 2 6 2" xfId="6827" xr:uid="{00000000-0005-0000-0000-000028150000}"/>
    <cellStyle name="Normal 4 4 2 3 2 6 2 2" xfId="15256" xr:uid="{7C270C2E-F559-4667-B627-36106DCA5CC9}"/>
    <cellStyle name="Normal 4 4 2 3 2 6 2 3" xfId="23684" xr:uid="{3B8EF66A-455C-4B71-AB77-6F036BD87B87}"/>
    <cellStyle name="Normal 4 4 2 3 2 6 3" xfId="11038" xr:uid="{52B57BA6-01E7-407E-9006-150228CF7951}"/>
    <cellStyle name="Normal 4 4 2 3 2 6 4" xfId="19467" xr:uid="{EEE32DC9-7298-40B1-AADE-96F214343302}"/>
    <cellStyle name="Normal 4 4 2 3 2 7" xfId="4762" xr:uid="{00000000-0005-0000-0000-000029150000}"/>
    <cellStyle name="Normal 4 4 2 3 2 7 2" xfId="13191" xr:uid="{E6312C07-CF8C-4A08-99BA-3E6C819B44B2}"/>
    <cellStyle name="Normal 4 4 2 3 2 7 3" xfId="21619" xr:uid="{980A182B-FADE-451C-8A6D-17AE359F4E6A}"/>
    <cellStyle name="Normal 4 4 2 3 2 8" xfId="8973" xr:uid="{EA207555-29FA-4DD0-970F-A66DCB66DA82}"/>
    <cellStyle name="Normal 4 4 2 3 2 9" xfId="17402" xr:uid="{336BF555-0A2E-4F07-BF49-F3D10308E44B}"/>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8" xr:uid="{8525D7EA-5E73-429D-9FCD-C380FCB3AC28}"/>
    <cellStyle name="Normal 4 4 2 3 3 2 2 3" xfId="24176" xr:uid="{0220CECC-9F56-48D8-B003-C43CDC9F662D}"/>
    <cellStyle name="Normal 4 4 2 3 3 2 3" xfId="11530" xr:uid="{391CC419-6B31-49F7-9714-BF0D9C63EB77}"/>
    <cellStyle name="Normal 4 4 2 3 3 2 4" xfId="19959" xr:uid="{3231F282-1FC4-434F-8E1F-12185E0F0840}"/>
    <cellStyle name="Normal 4 4 2 3 3 3" xfId="5174" xr:uid="{00000000-0005-0000-0000-00002D150000}"/>
    <cellStyle name="Normal 4 4 2 3 3 3 2" xfId="13603" xr:uid="{5042338D-11D2-4334-8DBD-EAC370CD0775}"/>
    <cellStyle name="Normal 4 4 2 3 3 3 3" xfId="22031" xr:uid="{4AF536ED-FC16-48D9-A5A4-45FBA5B5230B}"/>
    <cellStyle name="Normal 4 4 2 3 3 4" xfId="9385" xr:uid="{40A36D8F-A4C0-41BE-BD3E-EDD998F537CD}"/>
    <cellStyle name="Normal 4 4 2 3 3 5" xfId="17814" xr:uid="{BBF8594B-B73F-4E93-970C-6EB2A4D622CC}"/>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61" xr:uid="{7DCAD1DE-B32B-4B5C-9231-DCFBEB4D60DE}"/>
    <cellStyle name="Normal 4 4 2 3 4 2 2 3" xfId="24589" xr:uid="{83667D82-E834-4DFC-BC9F-0226CF52ED7D}"/>
    <cellStyle name="Normal 4 4 2 3 4 2 3" xfId="11943" xr:uid="{10B4BA84-BBC0-42A3-A744-5D1C26A4C585}"/>
    <cellStyle name="Normal 4 4 2 3 4 2 4" xfId="20372" xr:uid="{FC24D049-20C1-4FE3-941C-5B2754D569B1}"/>
    <cellStyle name="Normal 4 4 2 3 4 3" xfId="5587" xr:uid="{00000000-0005-0000-0000-000031150000}"/>
    <cellStyle name="Normal 4 4 2 3 4 3 2" xfId="14016" xr:uid="{62962A0D-E3D1-41D9-8120-581800A2E671}"/>
    <cellStyle name="Normal 4 4 2 3 4 3 3" xfId="22444" xr:uid="{355F7F88-E783-463A-A329-138E7C184C9F}"/>
    <cellStyle name="Normal 4 4 2 3 4 4" xfId="9798" xr:uid="{FA164712-875B-44B7-9B53-82F36F5B58E6}"/>
    <cellStyle name="Normal 4 4 2 3 4 5" xfId="18227" xr:uid="{857C181E-D982-4282-8624-405B829CEE14}"/>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74" xr:uid="{F0F7D40D-03CB-4D77-BC19-0D4857945B5E}"/>
    <cellStyle name="Normal 4 4 2 3 5 2 2 3" xfId="25002" xr:uid="{B7254577-16C9-469A-ABCE-A439E444DE78}"/>
    <cellStyle name="Normal 4 4 2 3 5 2 3" xfId="12356" xr:uid="{34DD6394-E401-42F2-9DC2-C2E90761C848}"/>
    <cellStyle name="Normal 4 4 2 3 5 2 4" xfId="20785" xr:uid="{D3995790-BD12-4D72-BBFE-5CE70D2FA2F2}"/>
    <cellStyle name="Normal 4 4 2 3 5 3" xfId="6000" xr:uid="{00000000-0005-0000-0000-000035150000}"/>
    <cellStyle name="Normal 4 4 2 3 5 3 2" xfId="14429" xr:uid="{C3325C12-F923-4701-8B57-AAB2DA42BA74}"/>
    <cellStyle name="Normal 4 4 2 3 5 3 3" xfId="22857" xr:uid="{08AAFB4C-0BAA-4564-9883-835D6606AD6E}"/>
    <cellStyle name="Normal 4 4 2 3 5 4" xfId="10211" xr:uid="{64C8A934-E498-4450-98D8-AD87B7DBF1EC}"/>
    <cellStyle name="Normal 4 4 2 3 5 5" xfId="18640" xr:uid="{A03E30ED-F487-4830-97EF-749E20FEFE04}"/>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7" xr:uid="{8B04B795-40C3-4293-87A2-785AAE7FF388}"/>
    <cellStyle name="Normal 4 4 2 3 6 2 2 3" xfId="25415" xr:uid="{E84372EC-4761-478E-8197-8F9FBC63BC50}"/>
    <cellStyle name="Normal 4 4 2 3 6 2 3" xfId="12769" xr:uid="{FE26D5A5-C9FF-4C89-8EED-52F816429935}"/>
    <cellStyle name="Normal 4 4 2 3 6 2 4" xfId="21198" xr:uid="{0B61F042-DD6F-4DF2-94D1-BDA9A85024A3}"/>
    <cellStyle name="Normal 4 4 2 3 6 3" xfId="6413" xr:uid="{00000000-0005-0000-0000-000039150000}"/>
    <cellStyle name="Normal 4 4 2 3 6 3 2" xfId="14842" xr:uid="{19DA0973-847F-485F-ABE6-179A65F83148}"/>
    <cellStyle name="Normal 4 4 2 3 6 3 3" xfId="23270" xr:uid="{BC7DC2EB-2000-4FC3-B976-D65AC0E2C69C}"/>
    <cellStyle name="Normal 4 4 2 3 6 4" xfId="10624" xr:uid="{7C8398D2-94FD-4FAF-B83F-897177465CF6}"/>
    <cellStyle name="Normal 4 4 2 3 6 5" xfId="19053" xr:uid="{5D38E7A1-E822-4D38-9732-85726339C7F0}"/>
    <cellStyle name="Normal 4 4 2 3 7" xfId="2541" xr:uid="{00000000-0005-0000-0000-00003A150000}"/>
    <cellStyle name="Normal 4 4 2 3 7 2" xfId="6826" xr:uid="{00000000-0005-0000-0000-00003B150000}"/>
    <cellStyle name="Normal 4 4 2 3 7 2 2" xfId="15255" xr:uid="{62BE0708-137D-45D2-9E90-3EB79DAC7B30}"/>
    <cellStyle name="Normal 4 4 2 3 7 2 3" xfId="23683" xr:uid="{DD520FC2-91F2-4A3D-BCDE-E27448CD573A}"/>
    <cellStyle name="Normal 4 4 2 3 7 3" xfId="11037" xr:uid="{64AE5B19-6A77-4270-9755-8E6B054BAADC}"/>
    <cellStyle name="Normal 4 4 2 3 7 4" xfId="19466" xr:uid="{8CD9509A-452F-44CF-BFBA-969D6E5069C1}"/>
    <cellStyle name="Normal 4 4 2 3 8" xfId="4761" xr:uid="{00000000-0005-0000-0000-00003C150000}"/>
    <cellStyle name="Normal 4 4 2 3 8 2" xfId="13190" xr:uid="{F5DD1909-1B68-4235-BAEB-F467C1F549E0}"/>
    <cellStyle name="Normal 4 4 2 3 8 3" xfId="21618" xr:uid="{47C19DEA-2401-46D0-AE49-8AEDC6FC3C06}"/>
    <cellStyle name="Normal 4 4 2 3 9" xfId="8972" xr:uid="{674BDDBC-6CFC-4F60-8690-0D776688F318}"/>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50" xr:uid="{886F85F8-D79E-4953-A03B-0ED02D8EC6BA}"/>
    <cellStyle name="Normal 4 4 2 4 2 2 2 3" xfId="24178" xr:uid="{06F045A2-E10B-4EE5-A8C7-14AD3BEA586A}"/>
    <cellStyle name="Normal 4 4 2 4 2 2 3" xfId="11532" xr:uid="{9D57BC90-4A6C-4E76-8D8D-8DF6E100591A}"/>
    <cellStyle name="Normal 4 4 2 4 2 2 4" xfId="19961" xr:uid="{D3E89CD1-70B4-4C81-A5E8-5AD32B5A23B7}"/>
    <cellStyle name="Normal 4 4 2 4 2 3" xfId="5176" xr:uid="{00000000-0005-0000-0000-000041150000}"/>
    <cellStyle name="Normal 4 4 2 4 2 3 2" xfId="13605" xr:uid="{0F1ACE8A-D267-48DA-A75F-6FF919C2ED01}"/>
    <cellStyle name="Normal 4 4 2 4 2 3 3" xfId="22033" xr:uid="{978D425A-4CFC-40E4-A203-8D1BA9B6FBE0}"/>
    <cellStyle name="Normal 4 4 2 4 2 4" xfId="9387" xr:uid="{7CF274F3-4506-4753-8280-18767B560112}"/>
    <cellStyle name="Normal 4 4 2 4 2 5" xfId="17816" xr:uid="{50ACB722-F020-4C44-BE16-58F30946F35C}"/>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63" xr:uid="{AF16E4EC-9282-40BC-B1EB-D61CBBAA90AC}"/>
    <cellStyle name="Normal 4 4 2 4 3 2 2 3" xfId="24591" xr:uid="{6B4A16C9-3B9D-4B90-AECB-284D9D5CB9DB}"/>
    <cellStyle name="Normal 4 4 2 4 3 2 3" xfId="11945" xr:uid="{DCB0F7A0-3866-4274-A010-FCB483C72522}"/>
    <cellStyle name="Normal 4 4 2 4 3 2 4" xfId="20374" xr:uid="{EC2E5B3B-8920-4471-8156-A85B01A52C3C}"/>
    <cellStyle name="Normal 4 4 2 4 3 3" xfId="5589" xr:uid="{00000000-0005-0000-0000-000045150000}"/>
    <cellStyle name="Normal 4 4 2 4 3 3 2" xfId="14018" xr:uid="{D2F5D0AB-841B-4EF3-8A2F-2C2402C7B875}"/>
    <cellStyle name="Normal 4 4 2 4 3 3 3" xfId="22446" xr:uid="{481E2B73-FDA5-4897-8799-9DDDDE0529E5}"/>
    <cellStyle name="Normal 4 4 2 4 3 4" xfId="9800" xr:uid="{66CE9D17-40E1-4503-9AEE-DC17483735FF}"/>
    <cellStyle name="Normal 4 4 2 4 3 5" xfId="18229" xr:uid="{0F14A8D0-2D31-4C01-AC45-E576A32378D4}"/>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76" xr:uid="{E8A77C67-497D-44D3-B4DC-FC82E436C1F2}"/>
    <cellStyle name="Normal 4 4 2 4 4 2 2 3" xfId="25004" xr:uid="{B37FE05B-F2DE-41D1-9925-26183AF56C39}"/>
    <cellStyle name="Normal 4 4 2 4 4 2 3" xfId="12358" xr:uid="{D625833C-E3B2-4FC1-BEA8-53B021EDA3A9}"/>
    <cellStyle name="Normal 4 4 2 4 4 2 4" xfId="20787" xr:uid="{91384723-9F04-4EFF-826A-A13128CD9590}"/>
    <cellStyle name="Normal 4 4 2 4 4 3" xfId="6002" xr:uid="{00000000-0005-0000-0000-000049150000}"/>
    <cellStyle name="Normal 4 4 2 4 4 3 2" xfId="14431" xr:uid="{71BDBC2A-D0E0-482F-A6A0-A60316CDE1D3}"/>
    <cellStyle name="Normal 4 4 2 4 4 3 3" xfId="22859" xr:uid="{1B8E8E6C-3EB0-41CD-8322-EEA8703BDA77}"/>
    <cellStyle name="Normal 4 4 2 4 4 4" xfId="10213" xr:uid="{DF2561CE-92FA-4F51-A068-A021033EFB15}"/>
    <cellStyle name="Normal 4 4 2 4 4 5" xfId="18642" xr:uid="{424983E6-8A3B-47BC-A0C0-4DA76A459132}"/>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9" xr:uid="{CFDAC43E-3801-4064-A5F1-F5E48C91633B}"/>
    <cellStyle name="Normal 4 4 2 4 5 2 2 3" xfId="25417" xr:uid="{EB7CA816-D7AD-4FE5-AA0D-D3FB985567D2}"/>
    <cellStyle name="Normal 4 4 2 4 5 2 3" xfId="12771" xr:uid="{20F65FE9-B2B0-49BA-8F42-91C6CD5A8BFF}"/>
    <cellStyle name="Normal 4 4 2 4 5 2 4" xfId="21200" xr:uid="{1F0BAB16-5DC3-4591-A08E-BB30C9B7D3C9}"/>
    <cellStyle name="Normal 4 4 2 4 5 3" xfId="6415" xr:uid="{00000000-0005-0000-0000-00004D150000}"/>
    <cellStyle name="Normal 4 4 2 4 5 3 2" xfId="14844" xr:uid="{5BDF5790-3BF7-4169-A8C9-8FBD5632E958}"/>
    <cellStyle name="Normal 4 4 2 4 5 3 3" xfId="23272" xr:uid="{3B1B55AB-E3FB-4367-95EF-060D926F7791}"/>
    <cellStyle name="Normal 4 4 2 4 5 4" xfId="10626" xr:uid="{6146AA9E-C76C-4913-9FB8-D9FA98467697}"/>
    <cellStyle name="Normal 4 4 2 4 5 5" xfId="19055" xr:uid="{3582CDB6-CB6C-4599-9211-ACED4E7CAF89}"/>
    <cellStyle name="Normal 4 4 2 4 6" xfId="2543" xr:uid="{00000000-0005-0000-0000-00004E150000}"/>
    <cellStyle name="Normal 4 4 2 4 6 2" xfId="6828" xr:uid="{00000000-0005-0000-0000-00004F150000}"/>
    <cellStyle name="Normal 4 4 2 4 6 2 2" xfId="15257" xr:uid="{74BF40CD-634A-43F9-BCB4-D413CE2073C7}"/>
    <cellStyle name="Normal 4 4 2 4 6 2 3" xfId="23685" xr:uid="{D308CA5E-4C6B-4BE9-BA0D-AAD18E157F1C}"/>
    <cellStyle name="Normal 4 4 2 4 6 3" xfId="11039" xr:uid="{9B504B3E-7E66-4BE2-84C5-06B855FFD2F5}"/>
    <cellStyle name="Normal 4 4 2 4 6 4" xfId="19468" xr:uid="{7240D234-BDA7-4E42-8709-96A9DFF597D0}"/>
    <cellStyle name="Normal 4 4 2 4 7" xfId="4763" xr:uid="{00000000-0005-0000-0000-000050150000}"/>
    <cellStyle name="Normal 4 4 2 4 7 2" xfId="13192" xr:uid="{89BDC353-5814-4356-8E93-25B8C4F6E8E1}"/>
    <cellStyle name="Normal 4 4 2 4 7 3" xfId="21620" xr:uid="{89A5B8D2-862D-4871-B001-0040C0537E42}"/>
    <cellStyle name="Normal 4 4 2 4 8" xfId="8974" xr:uid="{F811639A-534D-4416-AABA-0A7836715FD5}"/>
    <cellStyle name="Normal 4 4 2 4 9" xfId="17403" xr:uid="{7283509D-ACF9-438D-B924-A1FAAA5C6EB7}"/>
    <cellStyle name="Normal 4 4 2 5" xfId="855" xr:uid="{00000000-0005-0000-0000-000051150000}"/>
    <cellStyle name="Normal 4 4 2 5 2" xfId="3090" xr:uid="{00000000-0005-0000-0000-000052150000}"/>
    <cellStyle name="Normal 4 4 2 5 2 2" xfId="7314" xr:uid="{00000000-0005-0000-0000-000053150000}"/>
    <cellStyle name="Normal 4 4 2 5 2 2 2" xfId="15743" xr:uid="{C62BF513-26C7-4496-88CA-23E984905173}"/>
    <cellStyle name="Normal 4 4 2 5 2 2 3" xfId="24171" xr:uid="{53E75C1F-AB0C-4C74-98D9-524EE7626F46}"/>
    <cellStyle name="Normal 4 4 2 5 2 3" xfId="11525" xr:uid="{C3FC30C7-6972-45AD-AE8C-8408A17FDC2B}"/>
    <cellStyle name="Normal 4 4 2 5 2 4" xfId="19954" xr:uid="{0C982E9E-22AC-4386-972A-B0FC4EDF802E}"/>
    <cellStyle name="Normal 4 4 2 5 3" xfId="5169" xr:uid="{00000000-0005-0000-0000-000054150000}"/>
    <cellStyle name="Normal 4 4 2 5 3 2" xfId="13598" xr:uid="{E5C225A4-4510-437F-90AA-890CD2F6DF13}"/>
    <cellStyle name="Normal 4 4 2 5 3 3" xfId="22026" xr:uid="{88E493BA-986B-42BE-AE15-27EB771ADA9B}"/>
    <cellStyle name="Normal 4 4 2 5 4" xfId="9380" xr:uid="{ED8F86D9-9538-4E72-A1CA-BB823EDF3BDB}"/>
    <cellStyle name="Normal 4 4 2 5 5" xfId="17809" xr:uid="{84E81517-C137-48DF-ACFF-0C10B7B757DD}"/>
    <cellStyle name="Normal 4 4 2 6" xfId="1273" xr:uid="{00000000-0005-0000-0000-000055150000}"/>
    <cellStyle name="Normal 4 4 2 6 2" xfId="3503" xr:uid="{00000000-0005-0000-0000-000056150000}"/>
    <cellStyle name="Normal 4 4 2 6 2 2" xfId="7727" xr:uid="{00000000-0005-0000-0000-000057150000}"/>
    <cellStyle name="Normal 4 4 2 6 2 2 2" xfId="16156" xr:uid="{7332C4F3-EFE0-4D18-B509-2D9CF6AED27B}"/>
    <cellStyle name="Normal 4 4 2 6 2 2 3" xfId="24584" xr:uid="{77C78983-96CB-469A-B1A2-6F1E3F7CE25C}"/>
    <cellStyle name="Normal 4 4 2 6 2 3" xfId="11938" xr:uid="{9848F92E-C67B-49EB-BBEF-5A21134B4F50}"/>
    <cellStyle name="Normal 4 4 2 6 2 4" xfId="20367" xr:uid="{47D35B02-0E75-4002-9F0C-EF7FC69427BF}"/>
    <cellStyle name="Normal 4 4 2 6 3" xfId="5582" xr:uid="{00000000-0005-0000-0000-000058150000}"/>
    <cellStyle name="Normal 4 4 2 6 3 2" xfId="14011" xr:uid="{623B87DE-5B4A-4A4A-9255-AB9A6EEB0B17}"/>
    <cellStyle name="Normal 4 4 2 6 3 3" xfId="22439" xr:uid="{6DB39A5A-32B8-44EF-90F4-9AA8E9D9D7DD}"/>
    <cellStyle name="Normal 4 4 2 6 4" xfId="9793" xr:uid="{6447E458-D378-45AE-9437-317A5734517C}"/>
    <cellStyle name="Normal 4 4 2 6 5" xfId="18222" xr:uid="{A5D730BE-52C5-4D34-9F5A-91D6E4CE6B7F}"/>
    <cellStyle name="Normal 4 4 2 7" xfId="1686" xr:uid="{00000000-0005-0000-0000-000059150000}"/>
    <cellStyle name="Normal 4 4 2 7 2" xfId="3916" xr:uid="{00000000-0005-0000-0000-00005A150000}"/>
    <cellStyle name="Normal 4 4 2 7 2 2" xfId="8140" xr:uid="{00000000-0005-0000-0000-00005B150000}"/>
    <cellStyle name="Normal 4 4 2 7 2 2 2" xfId="16569" xr:uid="{49136A9A-0ACF-4DFA-AF47-34A9CB27386C}"/>
    <cellStyle name="Normal 4 4 2 7 2 2 3" xfId="24997" xr:uid="{9352C3AD-50D3-49A2-A179-449FFE409665}"/>
    <cellStyle name="Normal 4 4 2 7 2 3" xfId="12351" xr:uid="{6BEF60D9-611B-4023-82B4-BC34ABE72014}"/>
    <cellStyle name="Normal 4 4 2 7 2 4" xfId="20780" xr:uid="{1CB72D08-7F9E-46FC-9E3E-1D38C5FB5CFC}"/>
    <cellStyle name="Normal 4 4 2 7 3" xfId="5995" xr:uid="{00000000-0005-0000-0000-00005C150000}"/>
    <cellStyle name="Normal 4 4 2 7 3 2" xfId="14424" xr:uid="{555D9C3C-F7A8-444A-90C9-9F2546F9EC2B}"/>
    <cellStyle name="Normal 4 4 2 7 3 3" xfId="22852" xr:uid="{AAF64AE4-E489-4C63-8621-5CDFA7160CE5}"/>
    <cellStyle name="Normal 4 4 2 7 4" xfId="10206" xr:uid="{6B3A6F9C-9115-436C-9B59-EBFDD628B89D}"/>
    <cellStyle name="Normal 4 4 2 7 5" xfId="18635" xr:uid="{7FD4AFE9-7371-495E-AF68-5527F2801910}"/>
    <cellStyle name="Normal 4 4 2 8" xfId="2100" xr:uid="{00000000-0005-0000-0000-00005D150000}"/>
    <cellStyle name="Normal 4 4 2 8 2" xfId="4329" xr:uid="{00000000-0005-0000-0000-00005E150000}"/>
    <cellStyle name="Normal 4 4 2 8 2 2" xfId="8553" xr:uid="{00000000-0005-0000-0000-00005F150000}"/>
    <cellStyle name="Normal 4 4 2 8 2 2 2" xfId="16982" xr:uid="{B97DCF6C-5395-4889-80B5-76ABD2E7D7ED}"/>
    <cellStyle name="Normal 4 4 2 8 2 2 3" xfId="25410" xr:uid="{8E44123C-8A8F-4AA0-AB9F-292491A0BFE3}"/>
    <cellStyle name="Normal 4 4 2 8 2 3" xfId="12764" xr:uid="{08BE29FE-52E1-45FE-A974-D8AB95343832}"/>
    <cellStyle name="Normal 4 4 2 8 2 4" xfId="21193" xr:uid="{B67A5604-73AB-4A35-B38C-0892604BE930}"/>
    <cellStyle name="Normal 4 4 2 8 3" xfId="6408" xr:uid="{00000000-0005-0000-0000-000060150000}"/>
    <cellStyle name="Normal 4 4 2 8 3 2" xfId="14837" xr:uid="{8AD3A397-772B-4F00-A389-97744388E9AF}"/>
    <cellStyle name="Normal 4 4 2 8 3 3" xfId="23265" xr:uid="{66807F4F-5074-4165-A3E4-DD5EF5C05DC4}"/>
    <cellStyle name="Normal 4 4 2 8 4" xfId="10619" xr:uid="{44781D00-7FAA-41E6-BEC5-376924CF5D02}"/>
    <cellStyle name="Normal 4 4 2 8 5" xfId="19048" xr:uid="{7F7F695E-7915-4517-B403-C2F8B717E5FA}"/>
    <cellStyle name="Normal 4 4 2 9" xfId="2536" xr:uid="{00000000-0005-0000-0000-000061150000}"/>
    <cellStyle name="Normal 4 4 2 9 2" xfId="6821" xr:uid="{00000000-0005-0000-0000-000062150000}"/>
    <cellStyle name="Normal 4 4 2 9 2 2" xfId="15250" xr:uid="{E8035882-6BE7-40EE-B1CC-733B8A5B2F3C}"/>
    <cellStyle name="Normal 4 4 2 9 2 3" xfId="23678" xr:uid="{3480F9B8-39CC-49E5-A6F8-20831C003160}"/>
    <cellStyle name="Normal 4 4 2 9 3" xfId="11032" xr:uid="{BBBFD611-9160-4B82-ABBA-69544946801A}"/>
    <cellStyle name="Normal 4 4 2 9 4" xfId="19461" xr:uid="{4051A923-8B3A-46AD-8D86-AA10D89D3F1B}"/>
    <cellStyle name="Normal 4 4 3" xfId="387" xr:uid="{00000000-0005-0000-0000-000063150000}"/>
    <cellStyle name="Normal 4 4 3 10" xfId="8975" xr:uid="{84B65C27-D3C0-4185-B3DD-7D44623C284E}"/>
    <cellStyle name="Normal 4 4 3 11" xfId="17404" xr:uid="{01904488-5C34-4413-B41F-D0CA89827ADF}"/>
    <cellStyle name="Normal 4 4 3 2" xfId="388" xr:uid="{00000000-0005-0000-0000-000064150000}"/>
    <cellStyle name="Normal 4 4 3 2 10" xfId="17405" xr:uid="{3FBC4512-E1F1-4965-8EA3-9EBFC19C0382}"/>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53" xr:uid="{E547F766-ECE1-4C98-8D8E-75D44234FF1D}"/>
    <cellStyle name="Normal 4 4 3 2 2 2 2 2 3" xfId="24181" xr:uid="{EC85B1FA-A92E-43F4-9C03-D97A52AA6E13}"/>
    <cellStyle name="Normal 4 4 3 2 2 2 2 3" xfId="11535" xr:uid="{D10C07B8-4F5E-4C8E-A92A-7C08AE29F8B8}"/>
    <cellStyle name="Normal 4 4 3 2 2 2 2 4" xfId="19964" xr:uid="{DC3F1B3A-8C42-4B7B-A960-AD16646E58BD}"/>
    <cellStyle name="Normal 4 4 3 2 2 2 3" xfId="5179" xr:uid="{00000000-0005-0000-0000-000069150000}"/>
    <cellStyle name="Normal 4 4 3 2 2 2 3 2" xfId="13608" xr:uid="{8E9DC45C-6A81-4EC4-BC9E-DFEF4E48E8DE}"/>
    <cellStyle name="Normal 4 4 3 2 2 2 3 3" xfId="22036" xr:uid="{20BD3137-5526-43CD-91B2-847B3E5A5A07}"/>
    <cellStyle name="Normal 4 4 3 2 2 2 4" xfId="9390" xr:uid="{202FA8C9-6F53-4A4D-9623-45B1E42BB7D8}"/>
    <cellStyle name="Normal 4 4 3 2 2 2 5" xfId="17819" xr:uid="{5DF8A02E-50ED-427C-9E2F-BCC2DD34296D}"/>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66" xr:uid="{0DB1850A-1736-4A7A-B175-B53CBE7539E7}"/>
    <cellStyle name="Normal 4 4 3 2 2 3 2 2 3" xfId="24594" xr:uid="{9AA68A1B-854A-4B32-BDA0-7F0738524A70}"/>
    <cellStyle name="Normal 4 4 3 2 2 3 2 3" xfId="11948" xr:uid="{472A13A5-6879-437F-8F42-FB9FDCCD8042}"/>
    <cellStyle name="Normal 4 4 3 2 2 3 2 4" xfId="20377" xr:uid="{0C249FFE-A2B8-428F-9C0F-FFA84CB20FCB}"/>
    <cellStyle name="Normal 4 4 3 2 2 3 3" xfId="5592" xr:uid="{00000000-0005-0000-0000-00006D150000}"/>
    <cellStyle name="Normal 4 4 3 2 2 3 3 2" xfId="14021" xr:uid="{CF1A39FA-02F0-48B9-BA25-9352AE781A28}"/>
    <cellStyle name="Normal 4 4 3 2 2 3 3 3" xfId="22449" xr:uid="{5E75E371-EF5D-4FB5-B52A-71CF6BF58FF5}"/>
    <cellStyle name="Normal 4 4 3 2 2 3 4" xfId="9803" xr:uid="{9D1B758E-73E7-402C-A5DE-258BE2E03985}"/>
    <cellStyle name="Normal 4 4 3 2 2 3 5" xfId="18232" xr:uid="{624842E4-1D4B-4897-A6C2-824BAF2F8EC7}"/>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9" xr:uid="{453ACB98-0DAD-4C59-8D91-17BC98746EAE}"/>
    <cellStyle name="Normal 4 4 3 2 2 4 2 2 3" xfId="25007" xr:uid="{DA9B4A00-3BB8-4CD9-8346-C279E13E65E8}"/>
    <cellStyle name="Normal 4 4 3 2 2 4 2 3" xfId="12361" xr:uid="{E4602A64-8E60-4F4E-9A2C-26D3E4798832}"/>
    <cellStyle name="Normal 4 4 3 2 2 4 2 4" xfId="20790" xr:uid="{EC4D6A23-3ACF-4C99-9AD2-760086D4DE04}"/>
    <cellStyle name="Normal 4 4 3 2 2 4 3" xfId="6005" xr:uid="{00000000-0005-0000-0000-000071150000}"/>
    <cellStyle name="Normal 4 4 3 2 2 4 3 2" xfId="14434" xr:uid="{517726B2-1300-49D0-B22B-54D5BEDFD149}"/>
    <cellStyle name="Normal 4 4 3 2 2 4 3 3" xfId="22862" xr:uid="{2042B451-EE0D-407C-8258-ADFB8877D9B3}"/>
    <cellStyle name="Normal 4 4 3 2 2 4 4" xfId="10216" xr:uid="{5263E854-F450-4807-B0A4-804BB03930A8}"/>
    <cellStyle name="Normal 4 4 3 2 2 4 5" xfId="18645" xr:uid="{31ED0F1E-E7C3-48D4-AABE-DDA0888EB2FC}"/>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92" xr:uid="{7E9E3C21-417A-4A5F-9467-D17AC17EF33F}"/>
    <cellStyle name="Normal 4 4 3 2 2 5 2 2 3" xfId="25420" xr:uid="{C09BD741-8249-44D5-B34F-F84DCFEFF79B}"/>
    <cellStyle name="Normal 4 4 3 2 2 5 2 3" xfId="12774" xr:uid="{B0CC1F65-5BAE-4AC3-9033-BA471419FD6E}"/>
    <cellStyle name="Normal 4 4 3 2 2 5 2 4" xfId="21203" xr:uid="{7DE35F75-F65B-4534-938C-E9B8A4F7558B}"/>
    <cellStyle name="Normal 4 4 3 2 2 5 3" xfId="6418" xr:uid="{00000000-0005-0000-0000-000075150000}"/>
    <cellStyle name="Normal 4 4 3 2 2 5 3 2" xfId="14847" xr:uid="{98EC0A60-ECEB-46C5-8628-0C7471A54CAB}"/>
    <cellStyle name="Normal 4 4 3 2 2 5 3 3" xfId="23275" xr:uid="{6B393EF9-65A0-465B-BE17-A58508F24D80}"/>
    <cellStyle name="Normal 4 4 3 2 2 5 4" xfId="10629" xr:uid="{BE51DF7E-0519-4D4F-B360-EDE4DE749FE3}"/>
    <cellStyle name="Normal 4 4 3 2 2 5 5" xfId="19058" xr:uid="{B87CB89F-5086-4CE7-B006-DA64C3C75F60}"/>
    <cellStyle name="Normal 4 4 3 2 2 6" xfId="2546" xr:uid="{00000000-0005-0000-0000-000076150000}"/>
    <cellStyle name="Normal 4 4 3 2 2 6 2" xfId="6831" xr:uid="{00000000-0005-0000-0000-000077150000}"/>
    <cellStyle name="Normal 4 4 3 2 2 6 2 2" xfId="15260" xr:uid="{84D6CED3-FCDA-40F8-A82C-1031D95DD095}"/>
    <cellStyle name="Normal 4 4 3 2 2 6 2 3" xfId="23688" xr:uid="{AF731D48-CA87-444E-A461-BD3F3B6252F6}"/>
    <cellStyle name="Normal 4 4 3 2 2 6 3" xfId="11042" xr:uid="{9369CAC1-6271-4050-938B-F88C9A8A76C3}"/>
    <cellStyle name="Normal 4 4 3 2 2 6 4" xfId="19471" xr:uid="{4E40574F-EF74-48BE-B687-314A011CC2E8}"/>
    <cellStyle name="Normal 4 4 3 2 2 7" xfId="4766" xr:uid="{00000000-0005-0000-0000-000078150000}"/>
    <cellStyle name="Normal 4 4 3 2 2 7 2" xfId="13195" xr:uid="{0C64C176-695A-4725-B57C-A0BAB1504ECA}"/>
    <cellStyle name="Normal 4 4 3 2 2 7 3" xfId="21623" xr:uid="{98EBF1FF-5F23-41F3-86C8-8664C026DAF7}"/>
    <cellStyle name="Normal 4 4 3 2 2 8" xfId="8977" xr:uid="{A6F3E5DD-9189-44DB-9F01-1564F40DA831}"/>
    <cellStyle name="Normal 4 4 3 2 2 9" xfId="17406" xr:uid="{71CE8D58-D659-4DC7-ADE1-6EF77D04DCC4}"/>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52" xr:uid="{3875E9DE-565E-4359-A2E8-00EEAF5FF1F0}"/>
    <cellStyle name="Normal 4 4 3 2 3 2 2 3" xfId="24180" xr:uid="{73AD14BA-72D9-4886-89F6-668BC2437C0B}"/>
    <cellStyle name="Normal 4 4 3 2 3 2 3" xfId="11534" xr:uid="{3997FE4A-5232-49FB-A6CF-D0C5A9610E4A}"/>
    <cellStyle name="Normal 4 4 3 2 3 2 4" xfId="19963" xr:uid="{B27266DD-9759-4716-A802-9C06415AE52C}"/>
    <cellStyle name="Normal 4 4 3 2 3 3" xfId="5178" xr:uid="{00000000-0005-0000-0000-00007C150000}"/>
    <cellStyle name="Normal 4 4 3 2 3 3 2" xfId="13607" xr:uid="{6D070E4B-9469-4A1F-87EF-406521462924}"/>
    <cellStyle name="Normal 4 4 3 2 3 3 3" xfId="22035" xr:uid="{304A21B2-E67C-4328-ACBE-633FA235075B}"/>
    <cellStyle name="Normal 4 4 3 2 3 4" xfId="9389" xr:uid="{081C9372-B973-4D5F-BE41-83B2000B8034}"/>
    <cellStyle name="Normal 4 4 3 2 3 5" xfId="17818" xr:uid="{2C204DDB-1CF6-4E06-B6EE-44ACAA14203E}"/>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65" xr:uid="{E3A766EA-10EB-4B40-B799-31A059311E06}"/>
    <cellStyle name="Normal 4 4 3 2 4 2 2 3" xfId="24593" xr:uid="{25AEB0D3-4226-49FD-A0C5-8151C8BC20B3}"/>
    <cellStyle name="Normal 4 4 3 2 4 2 3" xfId="11947" xr:uid="{330C3F5B-9496-4BAE-867E-5C3C4480B810}"/>
    <cellStyle name="Normal 4 4 3 2 4 2 4" xfId="20376" xr:uid="{BFC800EC-65EA-4F99-BB64-AA93FA629587}"/>
    <cellStyle name="Normal 4 4 3 2 4 3" xfId="5591" xr:uid="{00000000-0005-0000-0000-000080150000}"/>
    <cellStyle name="Normal 4 4 3 2 4 3 2" xfId="14020" xr:uid="{B267688B-7CE8-4FC1-932F-B7D85F582B4E}"/>
    <cellStyle name="Normal 4 4 3 2 4 3 3" xfId="22448" xr:uid="{A2B74445-DD66-4E97-8329-001CDF3B7370}"/>
    <cellStyle name="Normal 4 4 3 2 4 4" xfId="9802" xr:uid="{66D226EC-4431-4F11-846E-2BD949B647C1}"/>
    <cellStyle name="Normal 4 4 3 2 4 5" xfId="18231" xr:uid="{43274238-689F-4377-929F-5D495ED0C72A}"/>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8" xr:uid="{ACA1BD68-09A6-4897-8E86-128D7D4BDB1E}"/>
    <cellStyle name="Normal 4 4 3 2 5 2 2 3" xfId="25006" xr:uid="{F6A55E33-3F3C-4A34-B28C-E29522CF0532}"/>
    <cellStyle name="Normal 4 4 3 2 5 2 3" xfId="12360" xr:uid="{72762EB9-CBE1-4500-8243-6AB719D4A8F5}"/>
    <cellStyle name="Normal 4 4 3 2 5 2 4" xfId="20789" xr:uid="{DD279607-FE9C-4C10-A42E-CB3B3C9518A0}"/>
    <cellStyle name="Normal 4 4 3 2 5 3" xfId="6004" xr:uid="{00000000-0005-0000-0000-000084150000}"/>
    <cellStyle name="Normal 4 4 3 2 5 3 2" xfId="14433" xr:uid="{9D4EDDE4-156D-4DC2-8D84-B93460C95E72}"/>
    <cellStyle name="Normal 4 4 3 2 5 3 3" xfId="22861" xr:uid="{F61F51A7-E89A-4583-841C-38EB82787470}"/>
    <cellStyle name="Normal 4 4 3 2 5 4" xfId="10215" xr:uid="{A13879A1-A569-4DE5-AD8D-EF744912EBC3}"/>
    <cellStyle name="Normal 4 4 3 2 5 5" xfId="18644" xr:uid="{2D46F269-6B79-4249-996C-4DD5ABBE0078}"/>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91" xr:uid="{CFEEE282-0BE4-4D79-A350-C0399BFDB821}"/>
    <cellStyle name="Normal 4 4 3 2 6 2 2 3" xfId="25419" xr:uid="{0F930695-F68D-4C93-A970-6DC6BF359D78}"/>
    <cellStyle name="Normal 4 4 3 2 6 2 3" xfId="12773" xr:uid="{49CBE3DE-09AA-41ED-969C-11EDA3033835}"/>
    <cellStyle name="Normal 4 4 3 2 6 2 4" xfId="21202" xr:uid="{D3C97639-E016-4249-BA38-F22BA4F009CA}"/>
    <cellStyle name="Normal 4 4 3 2 6 3" xfId="6417" xr:uid="{00000000-0005-0000-0000-000088150000}"/>
    <cellStyle name="Normal 4 4 3 2 6 3 2" xfId="14846" xr:uid="{79DA07EC-92C3-4A0A-A262-874D55DA6DA3}"/>
    <cellStyle name="Normal 4 4 3 2 6 3 3" xfId="23274" xr:uid="{FCAB3507-93AF-4587-BAC6-F9D8319E3392}"/>
    <cellStyle name="Normal 4 4 3 2 6 4" xfId="10628" xr:uid="{404FFB14-E16C-4F01-A472-7D9443468A68}"/>
    <cellStyle name="Normal 4 4 3 2 6 5" xfId="19057" xr:uid="{2F2970ED-5F5E-432D-AE92-4A2636F4314E}"/>
    <cellStyle name="Normal 4 4 3 2 7" xfId="2545" xr:uid="{00000000-0005-0000-0000-000089150000}"/>
    <cellStyle name="Normal 4 4 3 2 7 2" xfId="6830" xr:uid="{00000000-0005-0000-0000-00008A150000}"/>
    <cellStyle name="Normal 4 4 3 2 7 2 2" xfId="15259" xr:uid="{4D904930-443D-4146-9713-0218E8BAA042}"/>
    <cellStyle name="Normal 4 4 3 2 7 2 3" xfId="23687" xr:uid="{112C4367-044D-4B83-B66B-A3AE627301EE}"/>
    <cellStyle name="Normal 4 4 3 2 7 3" xfId="11041" xr:uid="{7E6E9226-9228-45BF-BFB3-02F52DA8A05E}"/>
    <cellStyle name="Normal 4 4 3 2 7 4" xfId="19470" xr:uid="{F1CE706F-B082-4507-A332-6BA74DB6A631}"/>
    <cellStyle name="Normal 4 4 3 2 8" xfId="4765" xr:uid="{00000000-0005-0000-0000-00008B150000}"/>
    <cellStyle name="Normal 4 4 3 2 8 2" xfId="13194" xr:uid="{29218F5F-1FE8-44E8-A2C4-1CDE81E3848A}"/>
    <cellStyle name="Normal 4 4 3 2 8 3" xfId="21622" xr:uid="{89F07F52-FDDF-4C35-8AF3-B4B56FF1A827}"/>
    <cellStyle name="Normal 4 4 3 2 9" xfId="8976" xr:uid="{750FA892-DD25-42DD-A537-D0ACEB3520ED}"/>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54" xr:uid="{667537FD-91A1-4B9B-9157-4673ED4D0410}"/>
    <cellStyle name="Normal 4 4 3 3 2 2 2 3" xfId="24182" xr:uid="{F0728233-2FC7-496A-A895-CBA9742CCFBA}"/>
    <cellStyle name="Normal 4 4 3 3 2 2 3" xfId="11536" xr:uid="{1593BC1C-98D5-478B-84AE-BDE159D76504}"/>
    <cellStyle name="Normal 4 4 3 3 2 2 4" xfId="19965" xr:uid="{84C71AA1-2B64-470E-950F-92E4F674B828}"/>
    <cellStyle name="Normal 4 4 3 3 2 3" xfId="5180" xr:uid="{00000000-0005-0000-0000-000090150000}"/>
    <cellStyle name="Normal 4 4 3 3 2 3 2" xfId="13609" xr:uid="{B36140ED-7C83-4110-8C8B-248628366EE1}"/>
    <cellStyle name="Normal 4 4 3 3 2 3 3" xfId="22037" xr:uid="{B91EA8B5-523E-4450-BFF6-85E19BFE4666}"/>
    <cellStyle name="Normal 4 4 3 3 2 4" xfId="9391" xr:uid="{09C94D5D-C58C-43D9-88B4-DD4FCE28BEBA}"/>
    <cellStyle name="Normal 4 4 3 3 2 5" xfId="17820" xr:uid="{4F0680F6-820C-473B-B0C8-AD8E4D9203CE}"/>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7" xr:uid="{4796807F-6462-4AB4-9852-27C1C6348085}"/>
    <cellStyle name="Normal 4 4 3 3 3 2 2 3" xfId="24595" xr:uid="{CAC75F97-C7B2-4AA9-891E-57BF9D282051}"/>
    <cellStyle name="Normal 4 4 3 3 3 2 3" xfId="11949" xr:uid="{D3D0D05C-76B4-413F-BAC5-66282DACCD13}"/>
    <cellStyle name="Normal 4 4 3 3 3 2 4" xfId="20378" xr:uid="{03C475D8-63BF-4C5D-805A-F9651EC02F95}"/>
    <cellStyle name="Normal 4 4 3 3 3 3" xfId="5593" xr:uid="{00000000-0005-0000-0000-000094150000}"/>
    <cellStyle name="Normal 4 4 3 3 3 3 2" xfId="14022" xr:uid="{779E02F4-FE52-4426-9BCF-68EAA4AF1419}"/>
    <cellStyle name="Normal 4 4 3 3 3 3 3" xfId="22450" xr:uid="{ABF2911A-1AEF-45FE-A9BC-0905BF43489C}"/>
    <cellStyle name="Normal 4 4 3 3 3 4" xfId="9804" xr:uid="{9719F95D-2030-486F-A628-2D0DDBB91AE4}"/>
    <cellStyle name="Normal 4 4 3 3 3 5" xfId="18233" xr:uid="{F6BD6664-9E45-4F25-8844-47A20DDF67F1}"/>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80" xr:uid="{86128D3B-2DE5-49D1-B5FD-1C74D3CBFCDA}"/>
    <cellStyle name="Normal 4 4 3 3 4 2 2 3" xfId="25008" xr:uid="{4F04E89E-04A7-4D8B-8B7B-7A5D5521718C}"/>
    <cellStyle name="Normal 4 4 3 3 4 2 3" xfId="12362" xr:uid="{5B39A967-05D9-45B1-AB81-58DFA82E319B}"/>
    <cellStyle name="Normal 4 4 3 3 4 2 4" xfId="20791" xr:uid="{F388FEBB-0296-4BF1-A6D5-2DF4EAE337E7}"/>
    <cellStyle name="Normal 4 4 3 3 4 3" xfId="6006" xr:uid="{00000000-0005-0000-0000-000098150000}"/>
    <cellStyle name="Normal 4 4 3 3 4 3 2" xfId="14435" xr:uid="{77DAC4E6-0ABA-4C61-9433-83B2781D8B30}"/>
    <cellStyle name="Normal 4 4 3 3 4 3 3" xfId="22863" xr:uid="{A81D2E63-45A5-466D-B346-D39D95E49D7D}"/>
    <cellStyle name="Normal 4 4 3 3 4 4" xfId="10217" xr:uid="{13AAE604-D891-4A5B-AC7D-1C8C28B2817E}"/>
    <cellStyle name="Normal 4 4 3 3 4 5" xfId="18646" xr:uid="{CBF7F413-EFE6-41F6-B826-09C6CCFFB91E}"/>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93" xr:uid="{3BD219D7-D276-43A4-B9AF-55623AB27E25}"/>
    <cellStyle name="Normal 4 4 3 3 5 2 2 3" xfId="25421" xr:uid="{8FBE1CFF-AC37-44D8-AB2E-F3C9CA369537}"/>
    <cellStyle name="Normal 4 4 3 3 5 2 3" xfId="12775" xr:uid="{C7DB3884-A5AD-481A-BC76-02440617CAD2}"/>
    <cellStyle name="Normal 4 4 3 3 5 2 4" xfId="21204" xr:uid="{90367562-C734-4260-9275-E903441246F9}"/>
    <cellStyle name="Normal 4 4 3 3 5 3" xfId="6419" xr:uid="{00000000-0005-0000-0000-00009C150000}"/>
    <cellStyle name="Normal 4 4 3 3 5 3 2" xfId="14848" xr:uid="{67C9E824-13FB-4BDF-9BB6-FBB87D533078}"/>
    <cellStyle name="Normal 4 4 3 3 5 3 3" xfId="23276" xr:uid="{25E4BC70-284C-413D-BD56-0003EB828233}"/>
    <cellStyle name="Normal 4 4 3 3 5 4" xfId="10630" xr:uid="{E99A9379-4C53-4B10-8E2C-B0E16591AD90}"/>
    <cellStyle name="Normal 4 4 3 3 5 5" xfId="19059" xr:uid="{42DEA923-6B4E-43F3-A4E3-75CAF26EF15D}"/>
    <cellStyle name="Normal 4 4 3 3 6" xfId="2547" xr:uid="{00000000-0005-0000-0000-00009D150000}"/>
    <cellStyle name="Normal 4 4 3 3 6 2" xfId="6832" xr:uid="{00000000-0005-0000-0000-00009E150000}"/>
    <cellStyle name="Normal 4 4 3 3 6 2 2" xfId="15261" xr:uid="{E8A52FF0-6E3F-4CB0-8C83-DF506F8954CE}"/>
    <cellStyle name="Normal 4 4 3 3 6 2 3" xfId="23689" xr:uid="{2A5EC3AF-647B-4E18-987F-A33D95E7207D}"/>
    <cellStyle name="Normal 4 4 3 3 6 3" xfId="11043" xr:uid="{2D5DE50C-C31C-40AC-AFFB-3EB4F7BAC20F}"/>
    <cellStyle name="Normal 4 4 3 3 6 4" xfId="19472" xr:uid="{1FC557CB-D3A9-421F-8528-54169B396D09}"/>
    <cellStyle name="Normal 4 4 3 3 7" xfId="4767" xr:uid="{00000000-0005-0000-0000-00009F150000}"/>
    <cellStyle name="Normal 4 4 3 3 7 2" xfId="13196" xr:uid="{86772DAC-169E-480E-AE67-4E3FD9164068}"/>
    <cellStyle name="Normal 4 4 3 3 7 3" xfId="21624" xr:uid="{DCB2795F-49A1-4511-81C1-2942BF78A51F}"/>
    <cellStyle name="Normal 4 4 3 3 8" xfId="8978" xr:uid="{77B78924-6AC1-4701-8A00-7AC053077A25}"/>
    <cellStyle name="Normal 4 4 3 3 9" xfId="17407" xr:uid="{360C4144-0D8E-44FD-9C3E-A5394567FAD7}"/>
    <cellStyle name="Normal 4 4 3 4" xfId="863" xr:uid="{00000000-0005-0000-0000-0000A0150000}"/>
    <cellStyle name="Normal 4 4 3 4 2" xfId="3098" xr:uid="{00000000-0005-0000-0000-0000A1150000}"/>
    <cellStyle name="Normal 4 4 3 4 2 2" xfId="7322" xr:uid="{00000000-0005-0000-0000-0000A2150000}"/>
    <cellStyle name="Normal 4 4 3 4 2 2 2" xfId="15751" xr:uid="{EAAD90BA-2A08-4190-B6E8-62DA456701DA}"/>
    <cellStyle name="Normal 4 4 3 4 2 2 3" xfId="24179" xr:uid="{B0ED8FE7-3137-455F-B8FA-F6303E78DBCF}"/>
    <cellStyle name="Normal 4 4 3 4 2 3" xfId="11533" xr:uid="{A3D30618-5E6D-4100-B989-719C2663B75C}"/>
    <cellStyle name="Normal 4 4 3 4 2 4" xfId="19962" xr:uid="{A834D0A1-912A-4DB6-B570-7760BF30C9D8}"/>
    <cellStyle name="Normal 4 4 3 4 3" xfId="5177" xr:uid="{00000000-0005-0000-0000-0000A3150000}"/>
    <cellStyle name="Normal 4 4 3 4 3 2" xfId="13606" xr:uid="{E6D7F825-B550-43DA-8D59-8E7306AB598B}"/>
    <cellStyle name="Normal 4 4 3 4 3 3" xfId="22034" xr:uid="{AB54F481-2537-4EFC-8CE2-FD6DEA32D86E}"/>
    <cellStyle name="Normal 4 4 3 4 4" xfId="9388" xr:uid="{8307CE3F-E198-4047-A79B-94ED0745A7FB}"/>
    <cellStyle name="Normal 4 4 3 4 5" xfId="17817" xr:uid="{EB9766CD-025B-4E2B-89F0-5267201CB07A}"/>
    <cellStyle name="Normal 4 4 3 5" xfId="1281" xr:uid="{00000000-0005-0000-0000-0000A4150000}"/>
    <cellStyle name="Normal 4 4 3 5 2" xfId="3511" xr:uid="{00000000-0005-0000-0000-0000A5150000}"/>
    <cellStyle name="Normal 4 4 3 5 2 2" xfId="7735" xr:uid="{00000000-0005-0000-0000-0000A6150000}"/>
    <cellStyle name="Normal 4 4 3 5 2 2 2" xfId="16164" xr:uid="{2A6BA2A7-ACB7-489C-9F85-83E6DC088AE6}"/>
    <cellStyle name="Normal 4 4 3 5 2 2 3" xfId="24592" xr:uid="{7E2344B4-39EE-4BFC-A47E-EB6FE179885B}"/>
    <cellStyle name="Normal 4 4 3 5 2 3" xfId="11946" xr:uid="{72FCC211-2641-42DD-855F-8385F0311E7A}"/>
    <cellStyle name="Normal 4 4 3 5 2 4" xfId="20375" xr:uid="{FBB55BEE-8CD6-4307-BB2A-7391CDF8999A}"/>
    <cellStyle name="Normal 4 4 3 5 3" xfId="5590" xr:uid="{00000000-0005-0000-0000-0000A7150000}"/>
    <cellStyle name="Normal 4 4 3 5 3 2" xfId="14019" xr:uid="{8E374FC9-5BA8-49FC-AB71-75AD0801C829}"/>
    <cellStyle name="Normal 4 4 3 5 3 3" xfId="22447" xr:uid="{250A1581-AB91-49C2-8A5D-8597231EE8C9}"/>
    <cellStyle name="Normal 4 4 3 5 4" xfId="9801" xr:uid="{76378110-74D4-4A91-AEBA-DB4EA90B1EFB}"/>
    <cellStyle name="Normal 4 4 3 5 5" xfId="18230" xr:uid="{1E82912E-5D3C-4A77-985F-C26A5E94615D}"/>
    <cellStyle name="Normal 4 4 3 6" xfId="1694" xr:uid="{00000000-0005-0000-0000-0000A8150000}"/>
    <cellStyle name="Normal 4 4 3 6 2" xfId="3924" xr:uid="{00000000-0005-0000-0000-0000A9150000}"/>
    <cellStyle name="Normal 4 4 3 6 2 2" xfId="8148" xr:uid="{00000000-0005-0000-0000-0000AA150000}"/>
    <cellStyle name="Normal 4 4 3 6 2 2 2" xfId="16577" xr:uid="{8DB7127D-9E22-483B-A89F-3A6802E89CCF}"/>
    <cellStyle name="Normal 4 4 3 6 2 2 3" xfId="25005" xr:uid="{4EA9EC83-C8D6-456B-A07B-9C19854D2899}"/>
    <cellStyle name="Normal 4 4 3 6 2 3" xfId="12359" xr:uid="{8ABC615C-2ECA-435A-BEC4-639152E5C762}"/>
    <cellStyle name="Normal 4 4 3 6 2 4" xfId="20788" xr:uid="{685006AA-93C0-47BA-A116-4B41E75EFDB8}"/>
    <cellStyle name="Normal 4 4 3 6 3" xfId="6003" xr:uid="{00000000-0005-0000-0000-0000AB150000}"/>
    <cellStyle name="Normal 4 4 3 6 3 2" xfId="14432" xr:uid="{29B8D949-1151-45D8-886F-235A4AE58E92}"/>
    <cellStyle name="Normal 4 4 3 6 3 3" xfId="22860" xr:uid="{7AB1ACD0-CA2A-45A4-8072-A86D0288CD6B}"/>
    <cellStyle name="Normal 4 4 3 6 4" xfId="10214" xr:uid="{950AE448-A6BF-40BC-A639-19F6808289D0}"/>
    <cellStyle name="Normal 4 4 3 6 5" xfId="18643" xr:uid="{6D994043-9D77-4EDE-AF94-016D4A250AD5}"/>
    <cellStyle name="Normal 4 4 3 7" xfId="2108" xr:uid="{00000000-0005-0000-0000-0000AC150000}"/>
    <cellStyle name="Normal 4 4 3 7 2" xfId="4337" xr:uid="{00000000-0005-0000-0000-0000AD150000}"/>
    <cellStyle name="Normal 4 4 3 7 2 2" xfId="8561" xr:uid="{00000000-0005-0000-0000-0000AE150000}"/>
    <cellStyle name="Normal 4 4 3 7 2 2 2" xfId="16990" xr:uid="{28C477B9-1522-4542-AF9B-ABFE3F68E419}"/>
    <cellStyle name="Normal 4 4 3 7 2 2 3" xfId="25418" xr:uid="{605AF69C-28BB-4B6F-A24A-51891557053A}"/>
    <cellStyle name="Normal 4 4 3 7 2 3" xfId="12772" xr:uid="{3030AF8C-2A54-4FCE-A9A8-10D3FFEE7FA9}"/>
    <cellStyle name="Normal 4 4 3 7 2 4" xfId="21201" xr:uid="{D9784DB5-AEE5-4C47-8138-5487DCD939BC}"/>
    <cellStyle name="Normal 4 4 3 7 3" xfId="6416" xr:uid="{00000000-0005-0000-0000-0000AF150000}"/>
    <cellStyle name="Normal 4 4 3 7 3 2" xfId="14845" xr:uid="{AF639D5A-E88B-45E5-95F1-0357A0A3E38A}"/>
    <cellStyle name="Normal 4 4 3 7 3 3" xfId="23273" xr:uid="{98A62A49-2426-4454-BDDE-3B01512C4403}"/>
    <cellStyle name="Normal 4 4 3 7 4" xfId="10627" xr:uid="{8FC963C9-6327-4B92-BA9E-3722EAF7ED91}"/>
    <cellStyle name="Normal 4 4 3 7 5" xfId="19056" xr:uid="{93C2A313-1425-41AD-A364-078090BF80F5}"/>
    <cellStyle name="Normal 4 4 3 8" xfId="2544" xr:uid="{00000000-0005-0000-0000-0000B0150000}"/>
    <cellStyle name="Normal 4 4 3 8 2" xfId="6829" xr:uid="{00000000-0005-0000-0000-0000B1150000}"/>
    <cellStyle name="Normal 4 4 3 8 2 2" xfId="15258" xr:uid="{ED1526D2-6679-48B6-8A5B-17EDE43EA529}"/>
    <cellStyle name="Normal 4 4 3 8 2 3" xfId="23686" xr:uid="{E7577BBA-E496-4791-AC14-E2869B75A66D}"/>
    <cellStyle name="Normal 4 4 3 8 3" xfId="11040" xr:uid="{678D3564-302B-4C09-B990-28A509249B10}"/>
    <cellStyle name="Normal 4 4 3 8 4" xfId="19469" xr:uid="{7076CF18-A57D-41EE-840B-576ABFF5729A}"/>
    <cellStyle name="Normal 4 4 3 9" xfId="4764" xr:uid="{00000000-0005-0000-0000-0000B2150000}"/>
    <cellStyle name="Normal 4 4 3 9 2" xfId="13193" xr:uid="{49896379-4D37-4D6E-BC70-0A377F237635}"/>
    <cellStyle name="Normal 4 4 3 9 3" xfId="21621" xr:uid="{424D77B8-4240-4928-89A5-CB96CB61F7E8}"/>
    <cellStyle name="Normal 4 4 4" xfId="391" xr:uid="{00000000-0005-0000-0000-0000B3150000}"/>
    <cellStyle name="Normal 4 4 4 10" xfId="17408" xr:uid="{050FE832-883A-4856-9D40-1B3AC3F60F6E}"/>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56" xr:uid="{E8D049B9-8CB0-43FA-8B6B-AD936F3B916C}"/>
    <cellStyle name="Normal 4 4 4 2 2 2 2 3" xfId="24184" xr:uid="{A4FA9867-B14C-4672-8E46-6801826C27BF}"/>
    <cellStyle name="Normal 4 4 4 2 2 2 3" xfId="11538" xr:uid="{68C83758-CDC5-41DD-BDCA-8A21B5152707}"/>
    <cellStyle name="Normal 4 4 4 2 2 2 4" xfId="19967" xr:uid="{31869175-2F3C-4F9F-90B5-1BD98C15BA32}"/>
    <cellStyle name="Normal 4 4 4 2 2 3" xfId="5182" xr:uid="{00000000-0005-0000-0000-0000B8150000}"/>
    <cellStyle name="Normal 4 4 4 2 2 3 2" xfId="13611" xr:uid="{B4BE6D96-0493-482C-BBB0-5F8C444010BA}"/>
    <cellStyle name="Normal 4 4 4 2 2 3 3" xfId="22039" xr:uid="{999542AB-A05F-416F-A17B-A9170E067464}"/>
    <cellStyle name="Normal 4 4 4 2 2 4" xfId="9393" xr:uid="{6094FC54-4E07-43F6-9E1C-08B56B299056}"/>
    <cellStyle name="Normal 4 4 4 2 2 5" xfId="17822" xr:uid="{D441C2D9-DDB7-496E-B983-F6EEF0802D1B}"/>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9" xr:uid="{E76D0A6C-BC67-40A9-BDD6-7BB61198E67C}"/>
    <cellStyle name="Normal 4 4 4 2 3 2 2 3" xfId="24597" xr:uid="{A6865F5C-89D7-4CA9-8418-775229428C7F}"/>
    <cellStyle name="Normal 4 4 4 2 3 2 3" xfId="11951" xr:uid="{6183F3F5-5867-4C4A-BF42-EBBC14203A81}"/>
    <cellStyle name="Normal 4 4 4 2 3 2 4" xfId="20380" xr:uid="{2F708BEF-2489-4C18-9C8E-F759B4E9D9E1}"/>
    <cellStyle name="Normal 4 4 4 2 3 3" xfId="5595" xr:uid="{00000000-0005-0000-0000-0000BC150000}"/>
    <cellStyle name="Normal 4 4 4 2 3 3 2" xfId="14024" xr:uid="{AD616A7C-77FE-4A3F-8708-57BDFF5F0A47}"/>
    <cellStyle name="Normal 4 4 4 2 3 3 3" xfId="22452" xr:uid="{913DC9CC-75A9-4D02-B148-CD0C9E15E656}"/>
    <cellStyle name="Normal 4 4 4 2 3 4" xfId="9806" xr:uid="{71E96041-1197-4067-B055-EF3B15E97F70}"/>
    <cellStyle name="Normal 4 4 4 2 3 5" xfId="18235" xr:uid="{392736AD-8EC7-4356-9FAD-EC04E7AC6F5B}"/>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82" xr:uid="{45F74331-3A57-4F66-991C-0E5392A75909}"/>
    <cellStyle name="Normal 4 4 4 2 4 2 2 3" xfId="25010" xr:uid="{5042042C-B332-4516-9665-FDAC079A24AB}"/>
    <cellStyle name="Normal 4 4 4 2 4 2 3" xfId="12364" xr:uid="{030AC2CF-F41A-4F83-96F8-2435EE37923C}"/>
    <cellStyle name="Normal 4 4 4 2 4 2 4" xfId="20793" xr:uid="{21EDA340-7DC7-4FEF-A135-24AAD0FF0501}"/>
    <cellStyle name="Normal 4 4 4 2 4 3" xfId="6008" xr:uid="{00000000-0005-0000-0000-0000C0150000}"/>
    <cellStyle name="Normal 4 4 4 2 4 3 2" xfId="14437" xr:uid="{27CF2A03-7A7A-47DB-89D4-C49E854AC733}"/>
    <cellStyle name="Normal 4 4 4 2 4 3 3" xfId="22865" xr:uid="{6322D8D0-2569-4B15-8375-CF26BEBD4BC0}"/>
    <cellStyle name="Normal 4 4 4 2 4 4" xfId="10219" xr:uid="{8FEA4936-914D-4BDA-BFE1-7960A6DBD243}"/>
    <cellStyle name="Normal 4 4 4 2 4 5" xfId="18648" xr:uid="{12DD4298-3FF3-4918-B051-F16BF9CFC304}"/>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95" xr:uid="{9DF16259-443A-4008-9892-8D10FC60FDB0}"/>
    <cellStyle name="Normal 4 4 4 2 5 2 2 3" xfId="25423" xr:uid="{BC3717E1-8BF7-42AA-9526-98104A2562BF}"/>
    <cellStyle name="Normal 4 4 4 2 5 2 3" xfId="12777" xr:uid="{CDE73C80-EAA8-49A2-9AE1-1F6CCCF97BD4}"/>
    <cellStyle name="Normal 4 4 4 2 5 2 4" xfId="21206" xr:uid="{C89E6402-2823-4DA9-9381-F2A45FE33FAF}"/>
    <cellStyle name="Normal 4 4 4 2 5 3" xfId="6421" xr:uid="{00000000-0005-0000-0000-0000C4150000}"/>
    <cellStyle name="Normal 4 4 4 2 5 3 2" xfId="14850" xr:uid="{B63AAA28-BB8A-45D5-A6F2-294F41683957}"/>
    <cellStyle name="Normal 4 4 4 2 5 3 3" xfId="23278" xr:uid="{0BD982FE-9EE7-45FF-B5BB-88F280B100B1}"/>
    <cellStyle name="Normal 4 4 4 2 5 4" xfId="10632" xr:uid="{4AB70631-6B42-41EE-B3E3-4B364B8FFA7F}"/>
    <cellStyle name="Normal 4 4 4 2 5 5" xfId="19061" xr:uid="{706DF115-B129-40A5-AC15-51A6A6F6FF7A}"/>
    <cellStyle name="Normal 4 4 4 2 6" xfId="2549" xr:uid="{00000000-0005-0000-0000-0000C5150000}"/>
    <cellStyle name="Normal 4 4 4 2 6 2" xfId="6834" xr:uid="{00000000-0005-0000-0000-0000C6150000}"/>
    <cellStyle name="Normal 4 4 4 2 6 2 2" xfId="15263" xr:uid="{2E125773-13D1-4C97-A4C1-04AF2C1C1767}"/>
    <cellStyle name="Normal 4 4 4 2 6 2 3" xfId="23691" xr:uid="{C1CC78EB-2960-4B71-A442-A3C6AD812B7F}"/>
    <cellStyle name="Normal 4 4 4 2 6 3" xfId="11045" xr:uid="{FDAF73AC-A6F3-48DE-8443-639E141CAED4}"/>
    <cellStyle name="Normal 4 4 4 2 6 4" xfId="19474" xr:uid="{5FBB26F9-61DE-4969-B2EB-2D1DFC30EC0D}"/>
    <cellStyle name="Normal 4 4 4 2 7" xfId="4769" xr:uid="{00000000-0005-0000-0000-0000C7150000}"/>
    <cellStyle name="Normal 4 4 4 2 7 2" xfId="13198" xr:uid="{0431EE90-F549-4D92-A19F-9BF83E6E5C2D}"/>
    <cellStyle name="Normal 4 4 4 2 7 3" xfId="21626" xr:uid="{ABA1C34C-6B88-413E-8786-E7170CDF15CE}"/>
    <cellStyle name="Normal 4 4 4 2 8" xfId="8980" xr:uid="{2105572D-DDAE-4E65-BB79-C80A5FFEDAAE}"/>
    <cellStyle name="Normal 4 4 4 2 9" xfId="17409" xr:uid="{B256F79C-C784-48E0-BC13-B6DC4F2DF34A}"/>
    <cellStyle name="Normal 4 4 4 3" xfId="867" xr:uid="{00000000-0005-0000-0000-0000C8150000}"/>
    <cellStyle name="Normal 4 4 4 3 2" xfId="3102" xr:uid="{00000000-0005-0000-0000-0000C9150000}"/>
    <cellStyle name="Normal 4 4 4 3 2 2" xfId="7326" xr:uid="{00000000-0005-0000-0000-0000CA150000}"/>
    <cellStyle name="Normal 4 4 4 3 2 2 2" xfId="15755" xr:uid="{806ABDAF-5EC9-4BD4-AC83-759AEA3C276A}"/>
    <cellStyle name="Normal 4 4 4 3 2 2 3" xfId="24183" xr:uid="{32934441-EAB3-4F25-9347-77112DF4904B}"/>
    <cellStyle name="Normal 4 4 4 3 2 3" xfId="11537" xr:uid="{C707DEAD-24F4-4180-9388-6422A1DCBFA5}"/>
    <cellStyle name="Normal 4 4 4 3 2 4" xfId="19966" xr:uid="{DE8B53FF-E060-421A-96C7-D19DB3501F4C}"/>
    <cellStyle name="Normal 4 4 4 3 3" xfId="5181" xr:uid="{00000000-0005-0000-0000-0000CB150000}"/>
    <cellStyle name="Normal 4 4 4 3 3 2" xfId="13610" xr:uid="{DCA09F3D-57A4-4CB5-B432-4ACD223DFB23}"/>
    <cellStyle name="Normal 4 4 4 3 3 3" xfId="22038" xr:uid="{43A1C9CD-111D-4477-8D0E-E5B3E80C2F2C}"/>
    <cellStyle name="Normal 4 4 4 3 4" xfId="9392" xr:uid="{C0C49ACF-80CA-4AEF-ACAE-F59221B45A7C}"/>
    <cellStyle name="Normal 4 4 4 3 5" xfId="17821" xr:uid="{7C4C9663-C258-4686-AF7D-4A2B2BC2EA6D}"/>
    <cellStyle name="Normal 4 4 4 4" xfId="1285" xr:uid="{00000000-0005-0000-0000-0000CC150000}"/>
    <cellStyle name="Normal 4 4 4 4 2" xfId="3515" xr:uid="{00000000-0005-0000-0000-0000CD150000}"/>
    <cellStyle name="Normal 4 4 4 4 2 2" xfId="7739" xr:uid="{00000000-0005-0000-0000-0000CE150000}"/>
    <cellStyle name="Normal 4 4 4 4 2 2 2" xfId="16168" xr:uid="{C33507FC-3DA6-4C1A-AB8D-1DA935BF9850}"/>
    <cellStyle name="Normal 4 4 4 4 2 2 3" xfId="24596" xr:uid="{80629C91-528A-4EBE-B551-A0D0A1F66C87}"/>
    <cellStyle name="Normal 4 4 4 4 2 3" xfId="11950" xr:uid="{563DD95C-8490-4E9E-B406-2FBAC8BA5EEF}"/>
    <cellStyle name="Normal 4 4 4 4 2 4" xfId="20379" xr:uid="{1A16F182-5A32-464E-87E9-AEA6DC587BA8}"/>
    <cellStyle name="Normal 4 4 4 4 3" xfId="5594" xr:uid="{00000000-0005-0000-0000-0000CF150000}"/>
    <cellStyle name="Normal 4 4 4 4 3 2" xfId="14023" xr:uid="{EFA2A7CF-6AA2-4606-BA77-0B1A0D5D5672}"/>
    <cellStyle name="Normal 4 4 4 4 3 3" xfId="22451" xr:uid="{7473A6CB-9AF9-4EEE-AB97-CF0826EF281D}"/>
    <cellStyle name="Normal 4 4 4 4 4" xfId="9805" xr:uid="{D7E47B62-4C35-4331-8E4C-286513E73531}"/>
    <cellStyle name="Normal 4 4 4 4 5" xfId="18234" xr:uid="{2500678F-5256-433D-ADDA-74640CD0E9AE}"/>
    <cellStyle name="Normal 4 4 4 5" xfId="1698" xr:uid="{00000000-0005-0000-0000-0000D0150000}"/>
    <cellStyle name="Normal 4 4 4 5 2" xfId="3928" xr:uid="{00000000-0005-0000-0000-0000D1150000}"/>
    <cellStyle name="Normal 4 4 4 5 2 2" xfId="8152" xr:uid="{00000000-0005-0000-0000-0000D2150000}"/>
    <cellStyle name="Normal 4 4 4 5 2 2 2" xfId="16581" xr:uid="{2F5C3649-410E-4150-B8A0-4ECD8D3EBF22}"/>
    <cellStyle name="Normal 4 4 4 5 2 2 3" xfId="25009" xr:uid="{1984F4E6-457E-48DE-845F-42096D1E20ED}"/>
    <cellStyle name="Normal 4 4 4 5 2 3" xfId="12363" xr:uid="{FB12CB00-AE21-4BD2-A3CA-CE78BCE10E8A}"/>
    <cellStyle name="Normal 4 4 4 5 2 4" xfId="20792" xr:uid="{011228BA-671D-4D00-A695-FDB319241329}"/>
    <cellStyle name="Normal 4 4 4 5 3" xfId="6007" xr:uid="{00000000-0005-0000-0000-0000D3150000}"/>
    <cellStyle name="Normal 4 4 4 5 3 2" xfId="14436" xr:uid="{495ADE48-04E9-4EDD-889B-8334C4C5DACA}"/>
    <cellStyle name="Normal 4 4 4 5 3 3" xfId="22864" xr:uid="{FA1975E5-0AD7-47C5-A210-7FC707B481A7}"/>
    <cellStyle name="Normal 4 4 4 5 4" xfId="10218" xr:uid="{F3B641FD-9341-47C9-92CF-D047A08D170A}"/>
    <cellStyle name="Normal 4 4 4 5 5" xfId="18647" xr:uid="{4C39AF42-E330-4DB0-B6F8-6B9347F8253E}"/>
    <cellStyle name="Normal 4 4 4 6" xfId="2112" xr:uid="{00000000-0005-0000-0000-0000D4150000}"/>
    <cellStyle name="Normal 4 4 4 6 2" xfId="4341" xr:uid="{00000000-0005-0000-0000-0000D5150000}"/>
    <cellStyle name="Normal 4 4 4 6 2 2" xfId="8565" xr:uid="{00000000-0005-0000-0000-0000D6150000}"/>
    <cellStyle name="Normal 4 4 4 6 2 2 2" xfId="16994" xr:uid="{4CCF95AA-D774-4FC3-9F6D-FB0A09E25C62}"/>
    <cellStyle name="Normal 4 4 4 6 2 2 3" xfId="25422" xr:uid="{24D36D57-AF3F-4282-9AAF-7B3C592F648E}"/>
    <cellStyle name="Normal 4 4 4 6 2 3" xfId="12776" xr:uid="{D0597D78-7A59-49B5-8914-5E9B5265B39C}"/>
    <cellStyle name="Normal 4 4 4 6 2 4" xfId="21205" xr:uid="{B2C6532A-6916-47AA-A851-27E7ED712B6E}"/>
    <cellStyle name="Normal 4 4 4 6 3" xfId="6420" xr:uid="{00000000-0005-0000-0000-0000D7150000}"/>
    <cellStyle name="Normal 4 4 4 6 3 2" xfId="14849" xr:uid="{871F36DE-DA59-46E1-A6D3-BDA5CB60A868}"/>
    <cellStyle name="Normal 4 4 4 6 3 3" xfId="23277" xr:uid="{9A293984-59D4-4CBC-97D2-C92E295E4441}"/>
    <cellStyle name="Normal 4 4 4 6 4" xfId="10631" xr:uid="{61DF33F4-3B9B-4845-BB41-C93A32E3BC82}"/>
    <cellStyle name="Normal 4 4 4 6 5" xfId="19060" xr:uid="{576A8627-5F4D-4CB2-B9DC-201236325D12}"/>
    <cellStyle name="Normal 4 4 4 7" xfId="2548" xr:uid="{00000000-0005-0000-0000-0000D8150000}"/>
    <cellStyle name="Normal 4 4 4 7 2" xfId="6833" xr:uid="{00000000-0005-0000-0000-0000D9150000}"/>
    <cellStyle name="Normal 4 4 4 7 2 2" xfId="15262" xr:uid="{6D9BAF0C-58C8-4160-A807-EF36CCC75C05}"/>
    <cellStyle name="Normal 4 4 4 7 2 3" xfId="23690" xr:uid="{05242903-52F3-4E32-B0C5-44A8E12F0817}"/>
    <cellStyle name="Normal 4 4 4 7 3" xfId="11044" xr:uid="{C0D8677A-A942-4724-96FD-2760999DCBA2}"/>
    <cellStyle name="Normal 4 4 4 7 4" xfId="19473" xr:uid="{6A2B886B-C76B-4DA5-952E-3441C267EC35}"/>
    <cellStyle name="Normal 4 4 4 8" xfId="4768" xr:uid="{00000000-0005-0000-0000-0000DA150000}"/>
    <cellStyle name="Normal 4 4 4 8 2" xfId="13197" xr:uid="{7E63CC0F-A791-4B19-B7A5-C72538FD4075}"/>
    <cellStyle name="Normal 4 4 4 8 3" xfId="21625" xr:uid="{031CA624-32BE-4F48-B254-592EFA8C0703}"/>
    <cellStyle name="Normal 4 4 4 9" xfId="8979" xr:uid="{1921FC78-EFEF-4516-9FEF-377100312423}"/>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7" xr:uid="{E838FD22-A6A8-4E42-BCAC-9B79B6757206}"/>
    <cellStyle name="Normal 4 4 5 2 2 2 3" xfId="24185" xr:uid="{2DCD75FD-4BE8-446D-93DD-BEA9B79F28F2}"/>
    <cellStyle name="Normal 4 4 5 2 2 3" xfId="11539" xr:uid="{2081F6DB-5ABC-4BD7-B2E8-53449FB84EE3}"/>
    <cellStyle name="Normal 4 4 5 2 2 4" xfId="19968" xr:uid="{8BD4FDB1-7649-425A-ADD7-E33C3A15D027}"/>
    <cellStyle name="Normal 4 4 5 2 3" xfId="5183" xr:uid="{00000000-0005-0000-0000-0000DF150000}"/>
    <cellStyle name="Normal 4 4 5 2 3 2" xfId="13612" xr:uid="{8308B278-022E-4AAA-8B67-FF4C7546B618}"/>
    <cellStyle name="Normal 4 4 5 2 3 3" xfId="22040" xr:uid="{2F87D4BB-1553-489D-AE3D-DF51163AE78B}"/>
    <cellStyle name="Normal 4 4 5 2 4" xfId="9394" xr:uid="{07E82852-6F78-4935-966F-4350DC3272C5}"/>
    <cellStyle name="Normal 4 4 5 2 5" xfId="17823" xr:uid="{CC736F42-FBFB-4FFF-A5E8-701CD17AA31D}"/>
    <cellStyle name="Normal 4 4 5 3" xfId="1287" xr:uid="{00000000-0005-0000-0000-0000E0150000}"/>
    <cellStyle name="Normal 4 4 5 3 2" xfId="3517" xr:uid="{00000000-0005-0000-0000-0000E1150000}"/>
    <cellStyle name="Normal 4 4 5 3 2 2" xfId="7741" xr:uid="{00000000-0005-0000-0000-0000E2150000}"/>
    <cellStyle name="Normal 4 4 5 3 2 2 2" xfId="16170" xr:uid="{ECD24E23-8AB7-4F89-8288-8F6A2B249DD0}"/>
    <cellStyle name="Normal 4 4 5 3 2 2 3" xfId="24598" xr:uid="{9A95FB07-1924-448D-9D38-1DC6EB8D1566}"/>
    <cellStyle name="Normal 4 4 5 3 2 3" xfId="11952" xr:uid="{59055F2E-19F3-426D-A4AB-B5DA97D25016}"/>
    <cellStyle name="Normal 4 4 5 3 2 4" xfId="20381" xr:uid="{8DA91F02-18BF-4360-BFFD-67A6A320FB9A}"/>
    <cellStyle name="Normal 4 4 5 3 3" xfId="5596" xr:uid="{00000000-0005-0000-0000-0000E3150000}"/>
    <cellStyle name="Normal 4 4 5 3 3 2" xfId="14025" xr:uid="{B7129D79-7AA9-4C95-9C89-4F23574DAD75}"/>
    <cellStyle name="Normal 4 4 5 3 3 3" xfId="22453" xr:uid="{B9C062F5-BF69-4F18-B317-2174E5CB9BBF}"/>
    <cellStyle name="Normal 4 4 5 3 4" xfId="9807" xr:uid="{7BD4AE5D-23FF-48AE-82B8-48C3A41D545C}"/>
    <cellStyle name="Normal 4 4 5 3 5" xfId="18236" xr:uid="{01E7B95B-48C7-4DC1-A6DA-C4588CAC0E32}"/>
    <cellStyle name="Normal 4 4 5 4" xfId="1700" xr:uid="{00000000-0005-0000-0000-0000E4150000}"/>
    <cellStyle name="Normal 4 4 5 4 2" xfId="3930" xr:uid="{00000000-0005-0000-0000-0000E5150000}"/>
    <cellStyle name="Normal 4 4 5 4 2 2" xfId="8154" xr:uid="{00000000-0005-0000-0000-0000E6150000}"/>
    <cellStyle name="Normal 4 4 5 4 2 2 2" xfId="16583" xr:uid="{85141801-F3F6-4FBA-A2D3-655D991C6184}"/>
    <cellStyle name="Normal 4 4 5 4 2 2 3" xfId="25011" xr:uid="{32F37F70-1F29-4B79-A008-166FBEEF2166}"/>
    <cellStyle name="Normal 4 4 5 4 2 3" xfId="12365" xr:uid="{7E1CD756-B9CF-4037-8C92-ECA9DE5C3716}"/>
    <cellStyle name="Normal 4 4 5 4 2 4" xfId="20794" xr:uid="{1BD11AD7-E323-46C8-8C75-58AD63387913}"/>
    <cellStyle name="Normal 4 4 5 4 3" xfId="6009" xr:uid="{00000000-0005-0000-0000-0000E7150000}"/>
    <cellStyle name="Normal 4 4 5 4 3 2" xfId="14438" xr:uid="{829194D7-FCB6-49CE-8022-D9A3C79B0DC7}"/>
    <cellStyle name="Normal 4 4 5 4 3 3" xfId="22866" xr:uid="{8B6D30AD-4DB0-46D4-97DB-E5B1E90CC503}"/>
    <cellStyle name="Normal 4 4 5 4 4" xfId="10220" xr:uid="{3809D1C9-04DE-49FC-BF93-B6184E41BFBB}"/>
    <cellStyle name="Normal 4 4 5 4 5" xfId="18649" xr:uid="{2E7CB456-8332-4F20-9504-9E9E07255695}"/>
    <cellStyle name="Normal 4 4 5 5" xfId="2114" xr:uid="{00000000-0005-0000-0000-0000E8150000}"/>
    <cellStyle name="Normal 4 4 5 5 2" xfId="4343" xr:uid="{00000000-0005-0000-0000-0000E9150000}"/>
    <cellStyle name="Normal 4 4 5 5 2 2" xfId="8567" xr:uid="{00000000-0005-0000-0000-0000EA150000}"/>
    <cellStyle name="Normal 4 4 5 5 2 2 2" xfId="16996" xr:uid="{E61144F9-B728-4AE7-9BFA-17CE09CB529D}"/>
    <cellStyle name="Normal 4 4 5 5 2 2 3" xfId="25424" xr:uid="{32102DA1-FA10-4568-992E-92D88FE32738}"/>
    <cellStyle name="Normal 4 4 5 5 2 3" xfId="12778" xr:uid="{105C6BFE-BE28-4752-823F-4FDB21741736}"/>
    <cellStyle name="Normal 4 4 5 5 2 4" xfId="21207" xr:uid="{7FFE91D4-D8B6-41E8-ACD0-7C7A66A489A7}"/>
    <cellStyle name="Normal 4 4 5 5 3" xfId="6422" xr:uid="{00000000-0005-0000-0000-0000EB150000}"/>
    <cellStyle name="Normal 4 4 5 5 3 2" xfId="14851" xr:uid="{75E0BCA1-95BB-4EB0-A040-ABC5A8B63C3F}"/>
    <cellStyle name="Normal 4 4 5 5 3 3" xfId="23279" xr:uid="{F45C100A-70EF-4EA1-8114-5BFF07207F0F}"/>
    <cellStyle name="Normal 4 4 5 5 4" xfId="10633" xr:uid="{9AE7E906-710D-4CF1-BD30-72271B8AEDB3}"/>
    <cellStyle name="Normal 4 4 5 5 5" xfId="19062" xr:uid="{594D3A9F-8B08-40E4-94AC-DA7DA178DEFC}"/>
    <cellStyle name="Normal 4 4 5 6" xfId="2550" xr:uid="{00000000-0005-0000-0000-0000EC150000}"/>
    <cellStyle name="Normal 4 4 5 6 2" xfId="6835" xr:uid="{00000000-0005-0000-0000-0000ED150000}"/>
    <cellStyle name="Normal 4 4 5 6 2 2" xfId="15264" xr:uid="{22803D8D-AE93-4B7A-AFF2-00131FFF6144}"/>
    <cellStyle name="Normal 4 4 5 6 2 3" xfId="23692" xr:uid="{CEBEE1EA-0EA6-4B39-9764-9A190F9CF385}"/>
    <cellStyle name="Normal 4 4 5 6 3" xfId="11046" xr:uid="{892C5515-BCD3-4F55-846F-4C1194ECF131}"/>
    <cellStyle name="Normal 4 4 5 6 4" xfId="19475" xr:uid="{A645191E-3AFD-4A1B-8C25-C2ECD4D08E08}"/>
    <cellStyle name="Normal 4 4 5 7" xfId="4770" xr:uid="{00000000-0005-0000-0000-0000EE150000}"/>
    <cellStyle name="Normal 4 4 5 7 2" xfId="13199" xr:uid="{CBA018DF-279F-4F8B-8132-B81998330D74}"/>
    <cellStyle name="Normal 4 4 5 7 3" xfId="21627" xr:uid="{7CD15254-ECC6-4289-B6DB-65B4FC2DCC0C}"/>
    <cellStyle name="Normal 4 4 5 8" xfId="8981" xr:uid="{B88D23E4-BE31-4CE3-A0B5-EE58EB904AE6}"/>
    <cellStyle name="Normal 4 4 5 9" xfId="17410" xr:uid="{4289B33C-89CE-4E42-8DF0-9FDC3C7A7746}"/>
    <cellStyle name="Normal 4 4 6" xfId="854" xr:uid="{00000000-0005-0000-0000-0000EF150000}"/>
    <cellStyle name="Normal 4 4 6 2" xfId="3089" xr:uid="{00000000-0005-0000-0000-0000F0150000}"/>
    <cellStyle name="Normal 4 4 6 2 2" xfId="7313" xr:uid="{00000000-0005-0000-0000-0000F1150000}"/>
    <cellStyle name="Normal 4 4 6 2 2 2" xfId="15742" xr:uid="{92F784E7-B3D8-4CF4-A1C4-11977C2C56EF}"/>
    <cellStyle name="Normal 4 4 6 2 2 3" xfId="24170" xr:uid="{DBDB2E1F-B841-42EF-A8E4-B8E8E36D5A4A}"/>
    <cellStyle name="Normal 4 4 6 2 3" xfId="11524" xr:uid="{340B59C1-371E-40E3-BD21-5FB8077F2389}"/>
    <cellStyle name="Normal 4 4 6 2 4" xfId="19953" xr:uid="{EE098411-8C31-4839-AEBB-86689D3B877E}"/>
    <cellStyle name="Normal 4 4 6 3" xfId="5168" xr:uid="{00000000-0005-0000-0000-0000F2150000}"/>
    <cellStyle name="Normal 4 4 6 3 2" xfId="13597" xr:uid="{251EEFCE-823D-432E-A977-17B2C885E153}"/>
    <cellStyle name="Normal 4 4 6 3 3" xfId="22025" xr:uid="{E3F4E9C4-3B6C-4385-940C-8AF6165BFDF2}"/>
    <cellStyle name="Normal 4 4 6 4" xfId="9379" xr:uid="{4ABB85CF-6880-4434-B18D-DC868AE19572}"/>
    <cellStyle name="Normal 4 4 6 5" xfId="17808" xr:uid="{43D4B8E4-DBF2-4BF4-8B19-148D26AA3260}"/>
    <cellStyle name="Normal 4 4 7" xfId="1272" xr:uid="{00000000-0005-0000-0000-0000F3150000}"/>
    <cellStyle name="Normal 4 4 7 2" xfId="3502" xr:uid="{00000000-0005-0000-0000-0000F4150000}"/>
    <cellStyle name="Normal 4 4 7 2 2" xfId="7726" xr:uid="{00000000-0005-0000-0000-0000F5150000}"/>
    <cellStyle name="Normal 4 4 7 2 2 2" xfId="16155" xr:uid="{DF7CEB82-8632-4D38-92D0-AAB0CF744FD3}"/>
    <cellStyle name="Normal 4 4 7 2 2 3" xfId="24583" xr:uid="{157A4EB2-C45D-490F-836A-3ED1D87D1C31}"/>
    <cellStyle name="Normal 4 4 7 2 3" xfId="11937" xr:uid="{18E9CFA9-DF76-46BE-B9EA-A34357DAD81E}"/>
    <cellStyle name="Normal 4 4 7 2 4" xfId="20366" xr:uid="{DD5FABEB-B5F0-47B0-B639-03352D901CA5}"/>
    <cellStyle name="Normal 4 4 7 3" xfId="5581" xr:uid="{00000000-0005-0000-0000-0000F6150000}"/>
    <cellStyle name="Normal 4 4 7 3 2" xfId="14010" xr:uid="{5F92D89B-9AE7-4392-8728-FE711AD00E6E}"/>
    <cellStyle name="Normal 4 4 7 3 3" xfId="22438" xr:uid="{03A1192E-8E6B-4070-93C8-B18B76B1A23F}"/>
    <cellStyle name="Normal 4 4 7 4" xfId="9792" xr:uid="{74441EFE-55BA-4736-9FB5-2B44DE36E691}"/>
    <cellStyle name="Normal 4 4 7 5" xfId="18221" xr:uid="{871798E3-2B47-4CA0-82B8-130CB0787FB7}"/>
    <cellStyle name="Normal 4 4 8" xfId="1685" xr:uid="{00000000-0005-0000-0000-0000F7150000}"/>
    <cellStyle name="Normal 4 4 8 2" xfId="3915" xr:uid="{00000000-0005-0000-0000-0000F8150000}"/>
    <cellStyle name="Normal 4 4 8 2 2" xfId="8139" xr:uid="{00000000-0005-0000-0000-0000F9150000}"/>
    <cellStyle name="Normal 4 4 8 2 2 2" xfId="16568" xr:uid="{119D8DD6-BBAE-44A3-BE0D-E0CCECF10849}"/>
    <cellStyle name="Normal 4 4 8 2 2 3" xfId="24996" xr:uid="{BD405DFF-2893-42A1-B39E-A128EB5A0647}"/>
    <cellStyle name="Normal 4 4 8 2 3" xfId="12350" xr:uid="{662E60F9-4CDE-4DBA-97AE-502F29F8C7D1}"/>
    <cellStyle name="Normal 4 4 8 2 4" xfId="20779" xr:uid="{6A22BAF7-E73A-4010-859F-6C20485980ED}"/>
    <cellStyle name="Normal 4 4 8 3" xfId="5994" xr:uid="{00000000-0005-0000-0000-0000FA150000}"/>
    <cellStyle name="Normal 4 4 8 3 2" xfId="14423" xr:uid="{F29DB2E8-18A5-4F8D-9BF3-3CD06A5131A5}"/>
    <cellStyle name="Normal 4 4 8 3 3" xfId="22851" xr:uid="{F0F92C72-CD50-4C22-A2D8-CCCBA7B5C16C}"/>
    <cellStyle name="Normal 4 4 8 4" xfId="10205" xr:uid="{FB02352C-32DE-4794-8334-44B7631A6BC3}"/>
    <cellStyle name="Normal 4 4 8 5" xfId="18634" xr:uid="{6ADC2E98-E137-4A42-A7E1-E3FE7C4A7F43}"/>
    <cellStyle name="Normal 4 4 9" xfId="2099" xr:uid="{00000000-0005-0000-0000-0000FB150000}"/>
    <cellStyle name="Normal 4 4 9 2" xfId="4328" xr:uid="{00000000-0005-0000-0000-0000FC150000}"/>
    <cellStyle name="Normal 4 4 9 2 2" xfId="8552" xr:uid="{00000000-0005-0000-0000-0000FD150000}"/>
    <cellStyle name="Normal 4 4 9 2 2 2" xfId="16981" xr:uid="{513824A1-40A2-4550-A687-008F0EAF276F}"/>
    <cellStyle name="Normal 4 4 9 2 2 3" xfId="25409" xr:uid="{2915BB94-5DC4-40B0-B66C-2B14B0704B83}"/>
    <cellStyle name="Normal 4 4 9 2 3" xfId="12763" xr:uid="{1B134813-4347-4051-860D-40FB806A903C}"/>
    <cellStyle name="Normal 4 4 9 2 4" xfId="21192" xr:uid="{7B8D1C1E-F984-4509-9FF9-1B8F653B7BF6}"/>
    <cellStyle name="Normal 4 4 9 3" xfId="6407" xr:uid="{00000000-0005-0000-0000-0000FE150000}"/>
    <cellStyle name="Normal 4 4 9 3 2" xfId="14836" xr:uid="{90ECDAB9-0559-4288-81C9-3336ED389E7B}"/>
    <cellStyle name="Normal 4 4 9 3 3" xfId="23264" xr:uid="{CB2B0920-3EB5-4205-A3BA-09EB3E988EE0}"/>
    <cellStyle name="Normal 4 4 9 4" xfId="10618" xr:uid="{B6210CFA-9397-4AD1-8539-C35BA9E7769B}"/>
    <cellStyle name="Normal 4 4 9 5" xfId="19047" xr:uid="{79904919-15C4-4453-9396-1D2EF26431C0}"/>
    <cellStyle name="Normal 4 5" xfId="394" xr:uid="{00000000-0005-0000-0000-0000FF150000}"/>
    <cellStyle name="Normal 4 6" xfId="395" xr:uid="{00000000-0005-0000-0000-000000160000}"/>
    <cellStyle name="Normal 4 6 10" xfId="4771" xr:uid="{00000000-0005-0000-0000-000001160000}"/>
    <cellStyle name="Normal 4 6 10 2" xfId="13200" xr:uid="{F2173265-FB7D-40ED-9998-102CF5F2C719}"/>
    <cellStyle name="Normal 4 6 10 3" xfId="21628" xr:uid="{C0E9163C-CEED-43D8-BFB8-701C482C866F}"/>
    <cellStyle name="Normal 4 6 11" xfId="8982" xr:uid="{21E12B34-0B5A-41E6-A4DF-F1EEDDA3AAF2}"/>
    <cellStyle name="Normal 4 6 12" xfId="17411" xr:uid="{5810A229-B85D-4F2B-AB4E-0E77A243DAD0}"/>
    <cellStyle name="Normal 4 6 2" xfId="396" xr:uid="{00000000-0005-0000-0000-000002160000}"/>
    <cellStyle name="Normal 4 6 2 10" xfId="8983" xr:uid="{1053A228-FFA6-49B1-87A2-54783FC36684}"/>
    <cellStyle name="Normal 4 6 2 11" xfId="17412" xr:uid="{58585F0E-7837-4CD1-BA25-71F3D7273239}"/>
    <cellStyle name="Normal 4 6 2 2" xfId="397" xr:uid="{00000000-0005-0000-0000-000003160000}"/>
    <cellStyle name="Normal 4 6 2 2 10" xfId="17413" xr:uid="{26AF4496-83B1-4DB2-8819-D025DC97C7A5}"/>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61" xr:uid="{687D99D8-6172-4B7B-BF5B-C8B0B1C108C6}"/>
    <cellStyle name="Normal 4 6 2 2 2 2 2 2 3" xfId="24189" xr:uid="{B436B1C3-ECA7-4A80-AB92-A4674337AD9B}"/>
    <cellStyle name="Normal 4 6 2 2 2 2 2 3" xfId="11543" xr:uid="{EB7A10F5-B410-4214-A70C-33BF2490E9F0}"/>
    <cellStyle name="Normal 4 6 2 2 2 2 2 4" xfId="19972" xr:uid="{1A7726D7-7A89-4E18-8B46-D1327CC008C0}"/>
    <cellStyle name="Normal 4 6 2 2 2 2 3" xfId="5187" xr:uid="{00000000-0005-0000-0000-000008160000}"/>
    <cellStyle name="Normal 4 6 2 2 2 2 3 2" xfId="13616" xr:uid="{2324C6D8-4456-4256-8F55-D9E880AF04F8}"/>
    <cellStyle name="Normal 4 6 2 2 2 2 3 3" xfId="22044" xr:uid="{5F2DC022-AA42-4097-B69F-E998307A6A33}"/>
    <cellStyle name="Normal 4 6 2 2 2 2 4" xfId="9398" xr:uid="{DD52846B-1B28-4796-B8B7-0257EF33FD60}"/>
    <cellStyle name="Normal 4 6 2 2 2 2 5" xfId="17827" xr:uid="{EDD9C9F4-CC92-446F-A765-14EE5019685D}"/>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74" xr:uid="{4418232B-8448-4E1E-AC25-5713079008FF}"/>
    <cellStyle name="Normal 4 6 2 2 2 3 2 2 3" xfId="24602" xr:uid="{07DDBD74-78B4-4355-979D-287B1696E4C3}"/>
    <cellStyle name="Normal 4 6 2 2 2 3 2 3" xfId="11956" xr:uid="{3EFC3851-346A-4E82-A711-E224D9CABBE6}"/>
    <cellStyle name="Normal 4 6 2 2 2 3 2 4" xfId="20385" xr:uid="{7E7BCC0B-F173-45C8-9E71-D36ED498F9A4}"/>
    <cellStyle name="Normal 4 6 2 2 2 3 3" xfId="5600" xr:uid="{00000000-0005-0000-0000-00000C160000}"/>
    <cellStyle name="Normal 4 6 2 2 2 3 3 2" xfId="14029" xr:uid="{944ED69A-C436-4812-A3BA-E79C01DDC31A}"/>
    <cellStyle name="Normal 4 6 2 2 2 3 3 3" xfId="22457" xr:uid="{27CEA6BD-E41F-4BBD-94B8-B2336C4129BC}"/>
    <cellStyle name="Normal 4 6 2 2 2 3 4" xfId="9811" xr:uid="{E6B7928D-4183-409A-A86F-2AE5253F0A97}"/>
    <cellStyle name="Normal 4 6 2 2 2 3 5" xfId="18240" xr:uid="{528A9B8E-4BD1-41B6-A8B7-DE851641C673}"/>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7" xr:uid="{D6006BFE-14E5-47FB-8C52-69A3DF18C50C}"/>
    <cellStyle name="Normal 4 6 2 2 2 4 2 2 3" xfId="25015" xr:uid="{DDAF3045-2794-49E4-9E40-ACB6034CFB77}"/>
    <cellStyle name="Normal 4 6 2 2 2 4 2 3" xfId="12369" xr:uid="{4CBFA7C9-DCD3-4873-B22E-B8C3618DE89D}"/>
    <cellStyle name="Normal 4 6 2 2 2 4 2 4" xfId="20798" xr:uid="{0FA1CAF2-003D-4D87-924D-9D0A8D66EF8C}"/>
    <cellStyle name="Normal 4 6 2 2 2 4 3" xfId="6013" xr:uid="{00000000-0005-0000-0000-000010160000}"/>
    <cellStyle name="Normal 4 6 2 2 2 4 3 2" xfId="14442" xr:uid="{DC57AEC4-20B6-4E04-AD14-23A7DC76786E}"/>
    <cellStyle name="Normal 4 6 2 2 2 4 3 3" xfId="22870" xr:uid="{2BC38D45-04C8-47BB-95F1-65E41EC39718}"/>
    <cellStyle name="Normal 4 6 2 2 2 4 4" xfId="10224" xr:uid="{7ADBBE9A-23F2-4946-94FE-5E49FA49DA7F}"/>
    <cellStyle name="Normal 4 6 2 2 2 4 5" xfId="18653" xr:uid="{89FA00C2-B1D5-4840-9194-71138F8824D9}"/>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7000" xr:uid="{D076C93D-C82F-40DE-A2DE-579A657BF9B0}"/>
    <cellStyle name="Normal 4 6 2 2 2 5 2 2 3" xfId="25428" xr:uid="{D9685B9E-7A01-441D-AD16-D0E9F530C393}"/>
    <cellStyle name="Normal 4 6 2 2 2 5 2 3" xfId="12782" xr:uid="{E7DD1079-72C7-4CC6-A209-73ADC81823AD}"/>
    <cellStyle name="Normal 4 6 2 2 2 5 2 4" xfId="21211" xr:uid="{841DE27D-33FB-4479-ADAB-578B1C160016}"/>
    <cellStyle name="Normal 4 6 2 2 2 5 3" xfId="6426" xr:uid="{00000000-0005-0000-0000-000014160000}"/>
    <cellStyle name="Normal 4 6 2 2 2 5 3 2" xfId="14855" xr:uid="{D2EA9DF1-AC87-44F2-A28E-BEFBCF53C9E9}"/>
    <cellStyle name="Normal 4 6 2 2 2 5 3 3" xfId="23283" xr:uid="{3DA6E3AC-A105-46D6-B95C-E2A6D98AEB39}"/>
    <cellStyle name="Normal 4 6 2 2 2 5 4" xfId="10637" xr:uid="{9E901BA3-BF8A-430A-9E63-75751D577E6B}"/>
    <cellStyle name="Normal 4 6 2 2 2 5 5" xfId="19066" xr:uid="{1487B60E-1E5F-4702-9F6B-C965EB30A83A}"/>
    <cellStyle name="Normal 4 6 2 2 2 6" xfId="2554" xr:uid="{00000000-0005-0000-0000-000015160000}"/>
    <cellStyle name="Normal 4 6 2 2 2 6 2" xfId="6839" xr:uid="{00000000-0005-0000-0000-000016160000}"/>
    <cellStyle name="Normal 4 6 2 2 2 6 2 2" xfId="15268" xr:uid="{73F82A7E-821C-4EA7-8245-BC94EB1D0CB6}"/>
    <cellStyle name="Normal 4 6 2 2 2 6 2 3" xfId="23696" xr:uid="{3CDC3051-164E-401B-A5BC-14AF404CABA3}"/>
    <cellStyle name="Normal 4 6 2 2 2 6 3" xfId="11050" xr:uid="{BE8D0B03-72A9-40C7-8047-DE984C4DE97E}"/>
    <cellStyle name="Normal 4 6 2 2 2 6 4" xfId="19479" xr:uid="{AFC2E680-26D0-4F03-9EA9-612051F9665F}"/>
    <cellStyle name="Normal 4 6 2 2 2 7" xfId="4774" xr:uid="{00000000-0005-0000-0000-000017160000}"/>
    <cellStyle name="Normal 4 6 2 2 2 7 2" xfId="13203" xr:uid="{D947E7E2-244E-4068-8FFF-0DE7B4872426}"/>
    <cellStyle name="Normal 4 6 2 2 2 7 3" xfId="21631" xr:uid="{59157020-C91A-477F-B6EE-3174101B03E4}"/>
    <cellStyle name="Normal 4 6 2 2 2 8" xfId="8985" xr:uid="{5719D5A4-0CDB-4229-BB33-889D2639EE18}"/>
    <cellStyle name="Normal 4 6 2 2 2 9" xfId="17414" xr:uid="{1055D1F2-56BD-428D-AA08-60F4C5767900}"/>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60" xr:uid="{349A8E27-52AB-4773-B988-1171A225C68B}"/>
    <cellStyle name="Normal 4 6 2 2 3 2 2 3" xfId="24188" xr:uid="{2904BEF6-947B-45C0-B44A-82257FBB88AA}"/>
    <cellStyle name="Normal 4 6 2 2 3 2 3" xfId="11542" xr:uid="{A82A73BF-19AA-40ED-8B89-120807465A6F}"/>
    <cellStyle name="Normal 4 6 2 2 3 2 4" xfId="19971" xr:uid="{73551EAB-8661-4363-B473-E2F3C2562B70}"/>
    <cellStyle name="Normal 4 6 2 2 3 3" xfId="5186" xr:uid="{00000000-0005-0000-0000-00001B160000}"/>
    <cellStyle name="Normal 4 6 2 2 3 3 2" xfId="13615" xr:uid="{0844482D-E80D-4EE7-87A2-C23BB2480A42}"/>
    <cellStyle name="Normal 4 6 2 2 3 3 3" xfId="22043" xr:uid="{F4674CCE-B085-49B8-B7D8-AC57D4A3C3A2}"/>
    <cellStyle name="Normal 4 6 2 2 3 4" xfId="9397" xr:uid="{BAF826B7-3755-464F-BE62-731CF39BBCD4}"/>
    <cellStyle name="Normal 4 6 2 2 3 5" xfId="17826" xr:uid="{14F4901B-B650-4A61-9CB2-8092B99C2763}"/>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73" xr:uid="{61218962-9A32-41A0-A257-10AE5B49B3F0}"/>
    <cellStyle name="Normal 4 6 2 2 4 2 2 3" xfId="24601" xr:uid="{ADA0F8B5-D94B-4223-BCD7-FD5D5BDC87D3}"/>
    <cellStyle name="Normal 4 6 2 2 4 2 3" xfId="11955" xr:uid="{5BBE26C7-A159-4FB9-9BFF-968227FF5E44}"/>
    <cellStyle name="Normal 4 6 2 2 4 2 4" xfId="20384" xr:uid="{7663B844-AA9B-4E60-8625-26F9FED929BC}"/>
    <cellStyle name="Normal 4 6 2 2 4 3" xfId="5599" xr:uid="{00000000-0005-0000-0000-00001F160000}"/>
    <cellStyle name="Normal 4 6 2 2 4 3 2" xfId="14028" xr:uid="{47E6F3FE-FA0E-4020-8DB2-92C975BF3936}"/>
    <cellStyle name="Normal 4 6 2 2 4 3 3" xfId="22456" xr:uid="{0A8A8E03-A017-4A9A-96AE-FA92E5F07C2E}"/>
    <cellStyle name="Normal 4 6 2 2 4 4" xfId="9810" xr:uid="{3E20BD8A-BCAC-4778-AE8B-98154CC4D4E6}"/>
    <cellStyle name="Normal 4 6 2 2 4 5" xfId="18239" xr:uid="{110FC813-93B9-46AA-9F2E-EC73751FE6D9}"/>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86" xr:uid="{F6B17623-E0DC-43B8-BEF8-4EC2113A38AF}"/>
    <cellStyle name="Normal 4 6 2 2 5 2 2 3" xfId="25014" xr:uid="{6A4BEBFB-702B-4B2E-9CA9-1C90153BD9E6}"/>
    <cellStyle name="Normal 4 6 2 2 5 2 3" xfId="12368" xr:uid="{0716FC61-3B90-412A-8E11-53D9B5890E8E}"/>
    <cellStyle name="Normal 4 6 2 2 5 2 4" xfId="20797" xr:uid="{9EE1C9B9-7FD7-4E5D-AABB-E20A375D1B24}"/>
    <cellStyle name="Normal 4 6 2 2 5 3" xfId="6012" xr:uid="{00000000-0005-0000-0000-000023160000}"/>
    <cellStyle name="Normal 4 6 2 2 5 3 2" xfId="14441" xr:uid="{C7A8ED9D-98AB-43EF-BB30-5F98FDCE342B}"/>
    <cellStyle name="Normal 4 6 2 2 5 3 3" xfId="22869" xr:uid="{19DA22BC-1067-40A6-872B-717998B56B6A}"/>
    <cellStyle name="Normal 4 6 2 2 5 4" xfId="10223" xr:uid="{71655599-C4B0-4844-8582-CE5FC99CD07E}"/>
    <cellStyle name="Normal 4 6 2 2 5 5" xfId="18652" xr:uid="{C3DB1039-D01B-4323-B1BC-F83346A01261}"/>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9" xr:uid="{3F878073-5858-4311-8883-CF20FED63F46}"/>
    <cellStyle name="Normal 4 6 2 2 6 2 2 3" xfId="25427" xr:uid="{5D0ADB33-FA00-414A-80F3-1B957034B356}"/>
    <cellStyle name="Normal 4 6 2 2 6 2 3" xfId="12781" xr:uid="{ED86590D-E057-43DB-9EE9-7C1751A83157}"/>
    <cellStyle name="Normal 4 6 2 2 6 2 4" xfId="21210" xr:uid="{AADB40E4-F446-4D57-AAE9-4F45D994746F}"/>
    <cellStyle name="Normal 4 6 2 2 6 3" xfId="6425" xr:uid="{00000000-0005-0000-0000-000027160000}"/>
    <cellStyle name="Normal 4 6 2 2 6 3 2" xfId="14854" xr:uid="{306CE765-06CB-4202-A0C5-A933C25D5A01}"/>
    <cellStyle name="Normal 4 6 2 2 6 3 3" xfId="23282" xr:uid="{F71E32CB-8CB0-4EEA-B346-48D63BFBDE65}"/>
    <cellStyle name="Normal 4 6 2 2 6 4" xfId="10636" xr:uid="{99F23B1C-C320-4B36-B036-F318C60E07D2}"/>
    <cellStyle name="Normal 4 6 2 2 6 5" xfId="19065" xr:uid="{493DD53F-5F92-434B-9C6B-FC82D97394F4}"/>
    <cellStyle name="Normal 4 6 2 2 7" xfId="2553" xr:uid="{00000000-0005-0000-0000-000028160000}"/>
    <cellStyle name="Normal 4 6 2 2 7 2" xfId="6838" xr:uid="{00000000-0005-0000-0000-000029160000}"/>
    <cellStyle name="Normal 4 6 2 2 7 2 2" xfId="15267" xr:uid="{889AE744-6D56-4589-A9E7-B496A238D84E}"/>
    <cellStyle name="Normal 4 6 2 2 7 2 3" xfId="23695" xr:uid="{1D7E5236-F17D-49C8-B8B9-BFF96F4FCC8F}"/>
    <cellStyle name="Normal 4 6 2 2 7 3" xfId="11049" xr:uid="{6B47E85D-48EC-4212-AEC6-B7E822A770E8}"/>
    <cellStyle name="Normal 4 6 2 2 7 4" xfId="19478" xr:uid="{DD2E42F6-BFC1-4888-9EA7-656AC4D179DE}"/>
    <cellStyle name="Normal 4 6 2 2 8" xfId="4773" xr:uid="{00000000-0005-0000-0000-00002A160000}"/>
    <cellStyle name="Normal 4 6 2 2 8 2" xfId="13202" xr:uid="{26F6BED7-A8DF-4233-A91D-AA29F27BB88A}"/>
    <cellStyle name="Normal 4 6 2 2 8 3" xfId="21630" xr:uid="{D2C6D3A1-65E5-4358-9644-EA0D0ABCECF2}"/>
    <cellStyle name="Normal 4 6 2 2 9" xfId="8984" xr:uid="{2F9677AC-1F97-408F-B583-9CDC623B1942}"/>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62" xr:uid="{27C20C7D-F792-4176-AF13-3E8C374C187E}"/>
    <cellStyle name="Normal 4 6 2 3 2 2 2 3" xfId="24190" xr:uid="{582317A5-FB91-40FA-98D2-64E1966E11BD}"/>
    <cellStyle name="Normal 4 6 2 3 2 2 3" xfId="11544" xr:uid="{E95BFFE1-C1BC-4756-BCA6-37D8B58B2854}"/>
    <cellStyle name="Normal 4 6 2 3 2 2 4" xfId="19973" xr:uid="{9D4510D5-226B-45AD-B938-EAE61E33A3B5}"/>
    <cellStyle name="Normal 4 6 2 3 2 3" xfId="5188" xr:uid="{00000000-0005-0000-0000-00002F160000}"/>
    <cellStyle name="Normal 4 6 2 3 2 3 2" xfId="13617" xr:uid="{E6890037-E981-4507-ADF1-0F87DB93E107}"/>
    <cellStyle name="Normal 4 6 2 3 2 3 3" xfId="22045" xr:uid="{08AFB771-7203-49A9-83FE-58AD12A83B3B}"/>
    <cellStyle name="Normal 4 6 2 3 2 4" xfId="9399" xr:uid="{EB59283A-DAFC-4B7D-A57A-DB84A7D7C73A}"/>
    <cellStyle name="Normal 4 6 2 3 2 5" xfId="17828" xr:uid="{E88A7C5D-33B0-4A9E-A81C-2BFF9EABD7C7}"/>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75" xr:uid="{57DF60B1-7978-424B-9F68-14619CC59BD2}"/>
    <cellStyle name="Normal 4 6 2 3 3 2 2 3" xfId="24603" xr:uid="{3901E4FA-F3DA-495F-BAA5-91FB02F82AD7}"/>
    <cellStyle name="Normal 4 6 2 3 3 2 3" xfId="11957" xr:uid="{3E8A5BA0-F59C-43EF-9BA7-2BDFF4052960}"/>
    <cellStyle name="Normal 4 6 2 3 3 2 4" xfId="20386" xr:uid="{27B3D426-428B-445E-A748-B973F865AF9D}"/>
    <cellStyle name="Normal 4 6 2 3 3 3" xfId="5601" xr:uid="{00000000-0005-0000-0000-000033160000}"/>
    <cellStyle name="Normal 4 6 2 3 3 3 2" xfId="14030" xr:uid="{2292E8D9-FDAE-48AB-B0EF-4CE4781E8EF9}"/>
    <cellStyle name="Normal 4 6 2 3 3 3 3" xfId="22458" xr:uid="{5CCCAF2B-8158-4A70-A4D3-58A8C9952F99}"/>
    <cellStyle name="Normal 4 6 2 3 3 4" xfId="9812" xr:uid="{4D1940AD-86B7-45F0-B0B0-26725728DD66}"/>
    <cellStyle name="Normal 4 6 2 3 3 5" xfId="18241" xr:uid="{21B79034-7420-4F7A-AAF5-3DF52B422342}"/>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8" xr:uid="{9B5B3D3C-95E8-4975-B066-FED8C28599BF}"/>
    <cellStyle name="Normal 4 6 2 3 4 2 2 3" xfId="25016" xr:uid="{BE68F1AF-8172-4C9C-A954-94C3858C19DD}"/>
    <cellStyle name="Normal 4 6 2 3 4 2 3" xfId="12370" xr:uid="{BD9652D6-41E8-4CB2-B2BE-92DC854FBEDF}"/>
    <cellStyle name="Normal 4 6 2 3 4 2 4" xfId="20799" xr:uid="{BE2A4573-C332-4CE7-A615-AC0824F7C234}"/>
    <cellStyle name="Normal 4 6 2 3 4 3" xfId="6014" xr:uid="{00000000-0005-0000-0000-000037160000}"/>
    <cellStyle name="Normal 4 6 2 3 4 3 2" xfId="14443" xr:uid="{181C8D1D-B69F-497B-92E4-5911DF7A0D9D}"/>
    <cellStyle name="Normal 4 6 2 3 4 3 3" xfId="22871" xr:uid="{23235892-3941-4AC2-B283-79E0D6C11293}"/>
    <cellStyle name="Normal 4 6 2 3 4 4" xfId="10225" xr:uid="{E8F828BE-A3BB-4F0B-90E0-8BA4D1871724}"/>
    <cellStyle name="Normal 4 6 2 3 4 5" xfId="18654" xr:uid="{07D178F8-A67E-48A8-972B-C99B5B7CD50B}"/>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7001" xr:uid="{4A1BA09F-3307-45F7-9DC9-9786A51E4D1E}"/>
    <cellStyle name="Normal 4 6 2 3 5 2 2 3" xfId="25429" xr:uid="{6379B87F-E546-4057-8DE4-6DA7C458718E}"/>
    <cellStyle name="Normal 4 6 2 3 5 2 3" xfId="12783" xr:uid="{59A368E2-A9E7-4F82-8A67-D7D8C029CFF2}"/>
    <cellStyle name="Normal 4 6 2 3 5 2 4" xfId="21212" xr:uid="{52955722-7BC0-4B28-870B-2EFF9F7DDFE8}"/>
    <cellStyle name="Normal 4 6 2 3 5 3" xfId="6427" xr:uid="{00000000-0005-0000-0000-00003B160000}"/>
    <cellStyle name="Normal 4 6 2 3 5 3 2" xfId="14856" xr:uid="{F261F26F-107D-43F1-A0C5-5CAF570AE0B2}"/>
    <cellStyle name="Normal 4 6 2 3 5 3 3" xfId="23284" xr:uid="{34407291-5588-4359-B9BD-45A2A8A7F5B9}"/>
    <cellStyle name="Normal 4 6 2 3 5 4" xfId="10638" xr:uid="{B75734AD-7BD0-45C2-BFC1-00A99818A072}"/>
    <cellStyle name="Normal 4 6 2 3 5 5" xfId="19067" xr:uid="{6F159ED0-7C8A-404E-A901-20D1D7FEF1E4}"/>
    <cellStyle name="Normal 4 6 2 3 6" xfId="2555" xr:uid="{00000000-0005-0000-0000-00003C160000}"/>
    <cellStyle name="Normal 4 6 2 3 6 2" xfId="6840" xr:uid="{00000000-0005-0000-0000-00003D160000}"/>
    <cellStyle name="Normal 4 6 2 3 6 2 2" xfId="15269" xr:uid="{1568D4EB-55CF-4151-BC91-5D199E08CE4D}"/>
    <cellStyle name="Normal 4 6 2 3 6 2 3" xfId="23697" xr:uid="{9B309B57-90CC-4C78-897A-17D12713CA15}"/>
    <cellStyle name="Normal 4 6 2 3 6 3" xfId="11051" xr:uid="{4BCD36A3-9BF2-40BF-A47B-64ADE2B7FF8E}"/>
    <cellStyle name="Normal 4 6 2 3 6 4" xfId="19480" xr:uid="{D514C903-31C5-4341-B8CC-2202F2D3D893}"/>
    <cellStyle name="Normal 4 6 2 3 7" xfId="4775" xr:uid="{00000000-0005-0000-0000-00003E160000}"/>
    <cellStyle name="Normal 4 6 2 3 7 2" xfId="13204" xr:uid="{A520B06B-E4D9-4C93-8510-BCCD9BCB6047}"/>
    <cellStyle name="Normal 4 6 2 3 7 3" xfId="21632" xr:uid="{0407EDD1-BF97-4713-908C-79B3CBBFF23E}"/>
    <cellStyle name="Normal 4 6 2 3 8" xfId="8986" xr:uid="{E505BB51-45E4-481D-8415-1F4F3AD76B35}"/>
    <cellStyle name="Normal 4 6 2 3 9" xfId="17415" xr:uid="{5FF889E3-B13D-458D-BF08-A510BCCA1BA2}"/>
    <cellStyle name="Normal 4 6 2 4" xfId="871" xr:uid="{00000000-0005-0000-0000-00003F160000}"/>
    <cellStyle name="Normal 4 6 2 4 2" xfId="3106" xr:uid="{00000000-0005-0000-0000-000040160000}"/>
    <cellStyle name="Normal 4 6 2 4 2 2" xfId="7330" xr:uid="{00000000-0005-0000-0000-000041160000}"/>
    <cellStyle name="Normal 4 6 2 4 2 2 2" xfId="15759" xr:uid="{9FB60B10-C294-4D54-A73C-0AA3F251EBBE}"/>
    <cellStyle name="Normal 4 6 2 4 2 2 3" xfId="24187" xr:uid="{C9607773-7C2D-420E-B934-D2DEAD9CA1D9}"/>
    <cellStyle name="Normal 4 6 2 4 2 3" xfId="11541" xr:uid="{E4F9A02E-3163-4261-B8CD-63FD837E558E}"/>
    <cellStyle name="Normal 4 6 2 4 2 4" xfId="19970" xr:uid="{C5D19B8C-0808-4EBF-908A-D5E3C2566B04}"/>
    <cellStyle name="Normal 4 6 2 4 3" xfId="5185" xr:uid="{00000000-0005-0000-0000-000042160000}"/>
    <cellStyle name="Normal 4 6 2 4 3 2" xfId="13614" xr:uid="{A69A2827-7BCD-4567-9FCE-132CE2CAF3C4}"/>
    <cellStyle name="Normal 4 6 2 4 3 3" xfId="22042" xr:uid="{4267BDC5-B7F5-4F5B-B41D-B61471C9FDBC}"/>
    <cellStyle name="Normal 4 6 2 4 4" xfId="9396" xr:uid="{81707C5B-DAEA-47DA-ADAC-2617A936FA23}"/>
    <cellStyle name="Normal 4 6 2 4 5" xfId="17825" xr:uid="{CD5B410D-711F-4041-B2FB-ABA11775A63B}"/>
    <cellStyle name="Normal 4 6 2 5" xfId="1289" xr:uid="{00000000-0005-0000-0000-000043160000}"/>
    <cellStyle name="Normal 4 6 2 5 2" xfId="3519" xr:uid="{00000000-0005-0000-0000-000044160000}"/>
    <cellStyle name="Normal 4 6 2 5 2 2" xfId="7743" xr:uid="{00000000-0005-0000-0000-000045160000}"/>
    <cellStyle name="Normal 4 6 2 5 2 2 2" xfId="16172" xr:uid="{D00E8B5E-B1AE-41A3-9E0F-62519148F827}"/>
    <cellStyle name="Normal 4 6 2 5 2 2 3" xfId="24600" xr:uid="{DF11F0C2-BD5B-4F5E-BDD2-43417AE84D34}"/>
    <cellStyle name="Normal 4 6 2 5 2 3" xfId="11954" xr:uid="{138688F8-F97B-42E6-9FAC-1E5AE35B70D8}"/>
    <cellStyle name="Normal 4 6 2 5 2 4" xfId="20383" xr:uid="{5A2B0BA8-1B27-4A02-8BC7-A15FF792B3ED}"/>
    <cellStyle name="Normal 4 6 2 5 3" xfId="5598" xr:uid="{00000000-0005-0000-0000-000046160000}"/>
    <cellStyle name="Normal 4 6 2 5 3 2" xfId="14027" xr:uid="{8504DE20-B7A1-4718-AC22-FA839359853A}"/>
    <cellStyle name="Normal 4 6 2 5 3 3" xfId="22455" xr:uid="{0A037EBE-1790-4601-9EB8-71E37469381D}"/>
    <cellStyle name="Normal 4 6 2 5 4" xfId="9809" xr:uid="{E154CECB-FA36-43F2-AAF4-2A3EE9AE8888}"/>
    <cellStyle name="Normal 4 6 2 5 5" xfId="18238" xr:uid="{8FB98E29-DF14-4CD7-955B-F8DD54AA08E9}"/>
    <cellStyle name="Normal 4 6 2 6" xfId="1702" xr:uid="{00000000-0005-0000-0000-000047160000}"/>
    <cellStyle name="Normal 4 6 2 6 2" xfId="3932" xr:uid="{00000000-0005-0000-0000-000048160000}"/>
    <cellStyle name="Normal 4 6 2 6 2 2" xfId="8156" xr:uid="{00000000-0005-0000-0000-000049160000}"/>
    <cellStyle name="Normal 4 6 2 6 2 2 2" xfId="16585" xr:uid="{B3CC1A34-D7BF-4590-AFB7-A651EA919B68}"/>
    <cellStyle name="Normal 4 6 2 6 2 2 3" xfId="25013" xr:uid="{EC8A7FAB-07E0-43DF-B9B7-591E2EDDBCEE}"/>
    <cellStyle name="Normal 4 6 2 6 2 3" xfId="12367" xr:uid="{577F0954-E197-4626-A0BB-4FA87EBDAE4D}"/>
    <cellStyle name="Normal 4 6 2 6 2 4" xfId="20796" xr:uid="{23166849-808F-4C10-B049-05F065E8AFFE}"/>
    <cellStyle name="Normal 4 6 2 6 3" xfId="6011" xr:uid="{00000000-0005-0000-0000-00004A160000}"/>
    <cellStyle name="Normal 4 6 2 6 3 2" xfId="14440" xr:uid="{083846A7-3873-4183-BC07-C6E59C68211D}"/>
    <cellStyle name="Normal 4 6 2 6 3 3" xfId="22868" xr:uid="{01F0D9AA-4753-47D5-82B4-DBBCB4264FA0}"/>
    <cellStyle name="Normal 4 6 2 6 4" xfId="10222" xr:uid="{543E9887-A88B-4D39-B2FC-3CFB53077214}"/>
    <cellStyle name="Normal 4 6 2 6 5" xfId="18651" xr:uid="{9367627F-8E62-4361-83D0-1DEBC82B7C17}"/>
    <cellStyle name="Normal 4 6 2 7" xfId="2116" xr:uid="{00000000-0005-0000-0000-00004B160000}"/>
    <cellStyle name="Normal 4 6 2 7 2" xfId="4345" xr:uid="{00000000-0005-0000-0000-00004C160000}"/>
    <cellStyle name="Normal 4 6 2 7 2 2" xfId="8569" xr:uid="{00000000-0005-0000-0000-00004D160000}"/>
    <cellStyle name="Normal 4 6 2 7 2 2 2" xfId="16998" xr:uid="{5F1217CD-927A-4232-8E10-59CD75F86775}"/>
    <cellStyle name="Normal 4 6 2 7 2 2 3" xfId="25426" xr:uid="{78E91248-CF70-4264-BD20-804366166E2C}"/>
    <cellStyle name="Normal 4 6 2 7 2 3" xfId="12780" xr:uid="{E2AB3785-DC3F-4AD4-896F-9632665240BB}"/>
    <cellStyle name="Normal 4 6 2 7 2 4" xfId="21209" xr:uid="{CE7D4197-3946-4D58-907E-A0DA92322492}"/>
    <cellStyle name="Normal 4 6 2 7 3" xfId="6424" xr:uid="{00000000-0005-0000-0000-00004E160000}"/>
    <cellStyle name="Normal 4 6 2 7 3 2" xfId="14853" xr:uid="{1D0C9750-E189-4CA9-BC26-DDF46572B05E}"/>
    <cellStyle name="Normal 4 6 2 7 3 3" xfId="23281" xr:uid="{5A7C0866-A38F-4CD3-9BA6-C43CC0C00FA8}"/>
    <cellStyle name="Normal 4 6 2 7 4" xfId="10635" xr:uid="{A1B019AC-CF42-4923-AEA3-ED333AD86E04}"/>
    <cellStyle name="Normal 4 6 2 7 5" xfId="19064" xr:uid="{81B5C19D-4662-40C2-9222-707CA0E7C7A5}"/>
    <cellStyle name="Normal 4 6 2 8" xfId="2552" xr:uid="{00000000-0005-0000-0000-00004F160000}"/>
    <cellStyle name="Normal 4 6 2 8 2" xfId="6837" xr:uid="{00000000-0005-0000-0000-000050160000}"/>
    <cellStyle name="Normal 4 6 2 8 2 2" xfId="15266" xr:uid="{D74B7EEC-A5DC-4EB7-B91C-FBDC907B5DDA}"/>
    <cellStyle name="Normal 4 6 2 8 2 3" xfId="23694" xr:uid="{776D8C46-2499-4DDF-BEDF-23D43F75EAE3}"/>
    <cellStyle name="Normal 4 6 2 8 3" xfId="11048" xr:uid="{1745792B-3E88-4DBC-B4CE-958E6DBE462E}"/>
    <cellStyle name="Normal 4 6 2 8 4" xfId="19477" xr:uid="{C565B7FC-A239-4706-8617-16F5084B0D4D}"/>
    <cellStyle name="Normal 4 6 2 9" xfId="4772" xr:uid="{00000000-0005-0000-0000-000051160000}"/>
    <cellStyle name="Normal 4 6 2 9 2" xfId="13201" xr:uid="{F2BAE063-3A93-40EA-910C-39D74ECD9DF6}"/>
    <cellStyle name="Normal 4 6 2 9 3" xfId="21629" xr:uid="{EE5C99A9-6EC0-4C1F-9C0E-C61C8F22370E}"/>
    <cellStyle name="Normal 4 6 3" xfId="400" xr:uid="{00000000-0005-0000-0000-000052160000}"/>
    <cellStyle name="Normal 4 6 3 10" xfId="17416" xr:uid="{2D611D68-CF21-4024-A06F-AAFEA758842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64" xr:uid="{119FD87C-7FC4-4750-86F3-E3861352DCC2}"/>
    <cellStyle name="Normal 4 6 3 2 2 2 2 3" xfId="24192" xr:uid="{6FD49969-D565-4F80-8C71-70EAE2F1456D}"/>
    <cellStyle name="Normal 4 6 3 2 2 2 3" xfId="11546" xr:uid="{156E08D3-6B03-4D48-BEDD-D57306B3A51D}"/>
    <cellStyle name="Normal 4 6 3 2 2 2 4" xfId="19975" xr:uid="{F693F7E5-3A4E-4E1B-A361-F187B9B543C1}"/>
    <cellStyle name="Normal 4 6 3 2 2 3" xfId="5190" xr:uid="{00000000-0005-0000-0000-000057160000}"/>
    <cellStyle name="Normal 4 6 3 2 2 3 2" xfId="13619" xr:uid="{3FF270FA-3DAE-4C66-A7D5-B01F61D9A7F9}"/>
    <cellStyle name="Normal 4 6 3 2 2 3 3" xfId="22047" xr:uid="{6F8791D2-42B9-4187-B61E-DC9C21B92581}"/>
    <cellStyle name="Normal 4 6 3 2 2 4" xfId="9401" xr:uid="{7E39CC91-D5C0-4A3D-9AAB-2F31CAA67768}"/>
    <cellStyle name="Normal 4 6 3 2 2 5" xfId="17830" xr:uid="{B419D4D8-A799-417C-B140-6D7D0D73B297}"/>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7" xr:uid="{389C0F91-1198-4F54-90E9-9313D2A6B9B5}"/>
    <cellStyle name="Normal 4 6 3 2 3 2 2 3" xfId="24605" xr:uid="{7FEF74D2-969E-4BCF-B75B-628DE1A12517}"/>
    <cellStyle name="Normal 4 6 3 2 3 2 3" xfId="11959" xr:uid="{2C75A810-C872-4395-91D4-A959066A2A8F}"/>
    <cellStyle name="Normal 4 6 3 2 3 2 4" xfId="20388" xr:uid="{C3678512-64C1-45EC-BB91-762656F23213}"/>
    <cellStyle name="Normal 4 6 3 2 3 3" xfId="5603" xr:uid="{00000000-0005-0000-0000-00005B160000}"/>
    <cellStyle name="Normal 4 6 3 2 3 3 2" xfId="14032" xr:uid="{A7439A80-9470-41D4-A798-F4D5E6B24E14}"/>
    <cellStyle name="Normal 4 6 3 2 3 3 3" xfId="22460" xr:uid="{13A64D9E-1A56-4805-9210-2022B72D9D64}"/>
    <cellStyle name="Normal 4 6 3 2 3 4" xfId="9814" xr:uid="{BAE59C95-DB2D-4CDA-89DA-46D093C0948D}"/>
    <cellStyle name="Normal 4 6 3 2 3 5" xfId="18243" xr:uid="{2EF371F5-2699-4D6B-A928-4E41FA5590F5}"/>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90" xr:uid="{7C1B7B24-E59C-4F21-AE58-2DAEC171755B}"/>
    <cellStyle name="Normal 4 6 3 2 4 2 2 3" xfId="25018" xr:uid="{114F7185-1A01-44E8-B306-76D88A6C0CAC}"/>
    <cellStyle name="Normal 4 6 3 2 4 2 3" xfId="12372" xr:uid="{5BDF570C-5296-4852-8524-0858DCC55DCD}"/>
    <cellStyle name="Normal 4 6 3 2 4 2 4" xfId="20801" xr:uid="{132CADE8-8840-4B99-AC0B-576D36C4E54C}"/>
    <cellStyle name="Normal 4 6 3 2 4 3" xfId="6016" xr:uid="{00000000-0005-0000-0000-00005F160000}"/>
    <cellStyle name="Normal 4 6 3 2 4 3 2" xfId="14445" xr:uid="{86F69152-8BEC-483E-9B5E-C16552E42535}"/>
    <cellStyle name="Normal 4 6 3 2 4 3 3" xfId="22873" xr:uid="{E5761E61-AECC-440D-A9AC-EF380B5D94EA}"/>
    <cellStyle name="Normal 4 6 3 2 4 4" xfId="10227" xr:uid="{0AF091F3-5FF5-48E1-9D4A-19001A43FE63}"/>
    <cellStyle name="Normal 4 6 3 2 4 5" xfId="18656" xr:uid="{4EF8D66F-857D-4533-AD3D-010F1645B6F1}"/>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7003" xr:uid="{62110CE7-489F-458B-85D0-C07ABD4C9924}"/>
    <cellStyle name="Normal 4 6 3 2 5 2 2 3" xfId="25431" xr:uid="{EABE8E06-2CAC-4288-B507-77F22CE74F6C}"/>
    <cellStyle name="Normal 4 6 3 2 5 2 3" xfId="12785" xr:uid="{12731C85-36D5-406D-849A-58396FA9FDC1}"/>
    <cellStyle name="Normal 4 6 3 2 5 2 4" xfId="21214" xr:uid="{D6A85A3E-6BA0-4D61-9805-15B98599BEA0}"/>
    <cellStyle name="Normal 4 6 3 2 5 3" xfId="6429" xr:uid="{00000000-0005-0000-0000-000063160000}"/>
    <cellStyle name="Normal 4 6 3 2 5 3 2" xfId="14858" xr:uid="{FC415612-511B-4404-A04D-BB217B3FBFAF}"/>
    <cellStyle name="Normal 4 6 3 2 5 3 3" xfId="23286" xr:uid="{6B4F1E38-CD69-4174-904E-98FF9047E5AF}"/>
    <cellStyle name="Normal 4 6 3 2 5 4" xfId="10640" xr:uid="{F2794A4D-F24F-4D66-A7DE-C5BC79ADE299}"/>
    <cellStyle name="Normal 4 6 3 2 5 5" xfId="19069" xr:uid="{4868B90C-5B4E-4B36-9916-B6871E2B24C2}"/>
    <cellStyle name="Normal 4 6 3 2 6" xfId="2557" xr:uid="{00000000-0005-0000-0000-000064160000}"/>
    <cellStyle name="Normal 4 6 3 2 6 2" xfId="6842" xr:uid="{00000000-0005-0000-0000-000065160000}"/>
    <cellStyle name="Normal 4 6 3 2 6 2 2" xfId="15271" xr:uid="{867F68A0-EA64-4BC4-91E5-9F21FECD3C68}"/>
    <cellStyle name="Normal 4 6 3 2 6 2 3" xfId="23699" xr:uid="{97E23C8E-67D2-4D25-8F9D-874422DC502A}"/>
    <cellStyle name="Normal 4 6 3 2 6 3" xfId="11053" xr:uid="{82804B90-44BD-4AFA-BC0F-F6C8CB7B6BE4}"/>
    <cellStyle name="Normal 4 6 3 2 6 4" xfId="19482" xr:uid="{BFA1F4D6-74BF-463D-8BE8-A73146E61D41}"/>
    <cellStyle name="Normal 4 6 3 2 7" xfId="4777" xr:uid="{00000000-0005-0000-0000-000066160000}"/>
    <cellStyle name="Normal 4 6 3 2 7 2" xfId="13206" xr:uid="{9708EF02-93EB-43B9-9783-CFA2BD3EDF05}"/>
    <cellStyle name="Normal 4 6 3 2 7 3" xfId="21634" xr:uid="{4AD02FB6-D41E-4337-A138-EDCD936C81F1}"/>
    <cellStyle name="Normal 4 6 3 2 8" xfId="8988" xr:uid="{2440C24C-CB3B-4966-B554-93D652911A00}"/>
    <cellStyle name="Normal 4 6 3 2 9" xfId="17417" xr:uid="{6952A302-BFB6-4380-8CEA-C1D1AD40B065}"/>
    <cellStyle name="Normal 4 6 3 3" xfId="875" xr:uid="{00000000-0005-0000-0000-000067160000}"/>
    <cellStyle name="Normal 4 6 3 3 2" xfId="3110" xr:uid="{00000000-0005-0000-0000-000068160000}"/>
    <cellStyle name="Normal 4 6 3 3 2 2" xfId="7334" xr:uid="{00000000-0005-0000-0000-000069160000}"/>
    <cellStyle name="Normal 4 6 3 3 2 2 2" xfId="15763" xr:uid="{C381A42E-A6D0-41BD-84E5-A01E2858A155}"/>
    <cellStyle name="Normal 4 6 3 3 2 2 3" xfId="24191" xr:uid="{DC37E390-77E0-4E2C-865C-4D6B5A038897}"/>
    <cellStyle name="Normal 4 6 3 3 2 3" xfId="11545" xr:uid="{A2BD940F-292D-43D4-ADA1-06342005AC3B}"/>
    <cellStyle name="Normal 4 6 3 3 2 4" xfId="19974" xr:uid="{B4B6ADF4-B9B6-4369-9830-2D758E74260A}"/>
    <cellStyle name="Normal 4 6 3 3 3" xfId="5189" xr:uid="{00000000-0005-0000-0000-00006A160000}"/>
    <cellStyle name="Normal 4 6 3 3 3 2" xfId="13618" xr:uid="{FC7D2B6C-CD96-45D3-BFC0-7EA3090C2047}"/>
    <cellStyle name="Normal 4 6 3 3 3 3" xfId="22046" xr:uid="{D4755B26-9BC1-425A-9056-B6756D04E9A7}"/>
    <cellStyle name="Normal 4 6 3 3 4" xfId="9400" xr:uid="{E63EED27-9119-4F69-A026-91BEBCBFA9CC}"/>
    <cellStyle name="Normal 4 6 3 3 5" xfId="17829" xr:uid="{19AE4280-544D-41CB-8B26-54EB7EBBAC4B}"/>
    <cellStyle name="Normal 4 6 3 4" xfId="1293" xr:uid="{00000000-0005-0000-0000-00006B160000}"/>
    <cellStyle name="Normal 4 6 3 4 2" xfId="3523" xr:uid="{00000000-0005-0000-0000-00006C160000}"/>
    <cellStyle name="Normal 4 6 3 4 2 2" xfId="7747" xr:uid="{00000000-0005-0000-0000-00006D160000}"/>
    <cellStyle name="Normal 4 6 3 4 2 2 2" xfId="16176" xr:uid="{8E6ABBC2-16AE-4699-96D8-F362AB87DD7D}"/>
    <cellStyle name="Normal 4 6 3 4 2 2 3" xfId="24604" xr:uid="{DA35F0C2-5A39-4B7E-ACF1-2D5A66B61E11}"/>
    <cellStyle name="Normal 4 6 3 4 2 3" xfId="11958" xr:uid="{30671993-2F9A-44FB-BA05-61DE2FE4CA6F}"/>
    <cellStyle name="Normal 4 6 3 4 2 4" xfId="20387" xr:uid="{B4C63CAB-3499-40D1-A24A-82F5FA5B37B0}"/>
    <cellStyle name="Normal 4 6 3 4 3" xfId="5602" xr:uid="{00000000-0005-0000-0000-00006E160000}"/>
    <cellStyle name="Normal 4 6 3 4 3 2" xfId="14031" xr:uid="{28F6F8B1-5E1C-44C4-872E-D236319C91B2}"/>
    <cellStyle name="Normal 4 6 3 4 3 3" xfId="22459" xr:uid="{E2B8373C-A4EE-40D7-83BC-D4A3410E10AA}"/>
    <cellStyle name="Normal 4 6 3 4 4" xfId="9813" xr:uid="{02A87AE2-1CC9-4C48-B71B-F8FE3832E61C}"/>
    <cellStyle name="Normal 4 6 3 4 5" xfId="18242" xr:uid="{D622D22E-94FE-4CDC-BF8D-C168C375BBFC}"/>
    <cellStyle name="Normal 4 6 3 5" xfId="1706" xr:uid="{00000000-0005-0000-0000-00006F160000}"/>
    <cellStyle name="Normal 4 6 3 5 2" xfId="3936" xr:uid="{00000000-0005-0000-0000-000070160000}"/>
    <cellStyle name="Normal 4 6 3 5 2 2" xfId="8160" xr:uid="{00000000-0005-0000-0000-000071160000}"/>
    <cellStyle name="Normal 4 6 3 5 2 2 2" xfId="16589" xr:uid="{18092DD2-BCBB-45B0-8084-649218FACECE}"/>
    <cellStyle name="Normal 4 6 3 5 2 2 3" xfId="25017" xr:uid="{03070D84-FF60-4000-AD0A-1A8C278CD413}"/>
    <cellStyle name="Normal 4 6 3 5 2 3" xfId="12371" xr:uid="{32AAC912-3D3C-455A-A154-EEFB2F88DB7A}"/>
    <cellStyle name="Normal 4 6 3 5 2 4" xfId="20800" xr:uid="{4BB79FEE-C97D-4393-AC28-52BE8B6E39A5}"/>
    <cellStyle name="Normal 4 6 3 5 3" xfId="6015" xr:uid="{00000000-0005-0000-0000-000072160000}"/>
    <cellStyle name="Normal 4 6 3 5 3 2" xfId="14444" xr:uid="{DD21B959-04D1-48C9-8979-E954FE3EF928}"/>
    <cellStyle name="Normal 4 6 3 5 3 3" xfId="22872" xr:uid="{B5CCAA4E-61ED-4B7B-8754-5930019CD036}"/>
    <cellStyle name="Normal 4 6 3 5 4" xfId="10226" xr:uid="{FC913739-87B8-4B20-980E-1BBB07F40477}"/>
    <cellStyle name="Normal 4 6 3 5 5" xfId="18655" xr:uid="{5CCF5F51-EB91-4FFF-984B-A7861724D985}"/>
    <cellStyle name="Normal 4 6 3 6" xfId="2120" xr:uid="{00000000-0005-0000-0000-000073160000}"/>
    <cellStyle name="Normal 4 6 3 6 2" xfId="4349" xr:uid="{00000000-0005-0000-0000-000074160000}"/>
    <cellStyle name="Normal 4 6 3 6 2 2" xfId="8573" xr:uid="{00000000-0005-0000-0000-000075160000}"/>
    <cellStyle name="Normal 4 6 3 6 2 2 2" xfId="17002" xr:uid="{3A2B4EAB-4CEC-4DE8-A086-273DE360266E}"/>
    <cellStyle name="Normal 4 6 3 6 2 2 3" xfId="25430" xr:uid="{0032ECD3-561F-4902-A9FB-B06B4307D0CF}"/>
    <cellStyle name="Normal 4 6 3 6 2 3" xfId="12784" xr:uid="{83589FB7-F120-48EB-B4D3-3C2AAF4ACBB7}"/>
    <cellStyle name="Normal 4 6 3 6 2 4" xfId="21213" xr:uid="{2BC2C875-7AF4-4844-A7A2-6CCE51932114}"/>
    <cellStyle name="Normal 4 6 3 6 3" xfId="6428" xr:uid="{00000000-0005-0000-0000-000076160000}"/>
    <cellStyle name="Normal 4 6 3 6 3 2" xfId="14857" xr:uid="{6B8B0B22-8EAD-4739-9591-5E8447688F11}"/>
    <cellStyle name="Normal 4 6 3 6 3 3" xfId="23285" xr:uid="{6DA54DF9-5D68-4B5C-9139-E5151048CAFB}"/>
    <cellStyle name="Normal 4 6 3 6 4" xfId="10639" xr:uid="{0225C0B4-4997-48E6-8387-220DE77F44ED}"/>
    <cellStyle name="Normal 4 6 3 6 5" xfId="19068" xr:uid="{B5CE7C10-C307-4F88-94B1-D0075EF37735}"/>
    <cellStyle name="Normal 4 6 3 7" xfId="2556" xr:uid="{00000000-0005-0000-0000-000077160000}"/>
    <cellStyle name="Normal 4 6 3 7 2" xfId="6841" xr:uid="{00000000-0005-0000-0000-000078160000}"/>
    <cellStyle name="Normal 4 6 3 7 2 2" xfId="15270" xr:uid="{CA41E343-A8FD-472D-B052-1576DE2DF571}"/>
    <cellStyle name="Normal 4 6 3 7 2 3" xfId="23698" xr:uid="{2B2FC7AE-BAF4-4C1C-A1C7-9A4C09494B4C}"/>
    <cellStyle name="Normal 4 6 3 7 3" xfId="11052" xr:uid="{4A00AE34-9665-4471-841D-9EDA4D5C284E}"/>
    <cellStyle name="Normal 4 6 3 7 4" xfId="19481" xr:uid="{C287F15E-2541-4C96-A974-917D7A99C5F3}"/>
    <cellStyle name="Normal 4 6 3 8" xfId="4776" xr:uid="{00000000-0005-0000-0000-000079160000}"/>
    <cellStyle name="Normal 4 6 3 8 2" xfId="13205" xr:uid="{DE512D9C-4BC8-40B4-9F84-B40E02D95EEA}"/>
    <cellStyle name="Normal 4 6 3 8 3" xfId="21633" xr:uid="{A240202D-49DB-4C5B-9DED-6A5565B2F94D}"/>
    <cellStyle name="Normal 4 6 3 9" xfId="8987" xr:uid="{C92E89B0-2DE8-4513-B472-024DF94190A2}"/>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65" xr:uid="{259150FF-F2B8-4AA1-BD05-C11E071B897F}"/>
    <cellStyle name="Normal 4 6 4 2 2 2 3" xfId="24193" xr:uid="{B2106CD9-4065-4B74-A323-24641305CD04}"/>
    <cellStyle name="Normal 4 6 4 2 2 3" xfId="11547" xr:uid="{0F8C88AC-49AF-4371-BCC1-D9344B4B1B92}"/>
    <cellStyle name="Normal 4 6 4 2 2 4" xfId="19976" xr:uid="{ACC39445-6093-4DFA-AB93-F4179B514F80}"/>
    <cellStyle name="Normal 4 6 4 2 3" xfId="5191" xr:uid="{00000000-0005-0000-0000-00007E160000}"/>
    <cellStyle name="Normal 4 6 4 2 3 2" xfId="13620" xr:uid="{527117F6-E751-48C5-B2D1-A40AA5999554}"/>
    <cellStyle name="Normal 4 6 4 2 3 3" xfId="22048" xr:uid="{376834FB-F7CC-4359-B710-E94209EC0B25}"/>
    <cellStyle name="Normal 4 6 4 2 4" xfId="9402" xr:uid="{FEB08809-ACB3-40FB-8DC1-FA5479F7197C}"/>
    <cellStyle name="Normal 4 6 4 2 5" xfId="17831" xr:uid="{D90BAD4F-DDC2-46C1-AE65-305073D62DC8}"/>
    <cellStyle name="Normal 4 6 4 3" xfId="1295" xr:uid="{00000000-0005-0000-0000-00007F160000}"/>
    <cellStyle name="Normal 4 6 4 3 2" xfId="3525" xr:uid="{00000000-0005-0000-0000-000080160000}"/>
    <cellStyle name="Normal 4 6 4 3 2 2" xfId="7749" xr:uid="{00000000-0005-0000-0000-000081160000}"/>
    <cellStyle name="Normal 4 6 4 3 2 2 2" xfId="16178" xr:uid="{4F20D7EF-63FD-434A-8B8E-709806C50080}"/>
    <cellStyle name="Normal 4 6 4 3 2 2 3" xfId="24606" xr:uid="{3876399E-D039-410E-89DF-01E90428BB20}"/>
    <cellStyle name="Normal 4 6 4 3 2 3" xfId="11960" xr:uid="{AC0908E4-6C23-484C-8237-D8375C995F69}"/>
    <cellStyle name="Normal 4 6 4 3 2 4" xfId="20389" xr:uid="{68CDA9B6-48BF-49AC-A588-B8112769E764}"/>
    <cellStyle name="Normal 4 6 4 3 3" xfId="5604" xr:uid="{00000000-0005-0000-0000-000082160000}"/>
    <cellStyle name="Normal 4 6 4 3 3 2" xfId="14033" xr:uid="{E5CE8E26-9671-4195-A74D-CBAEC78A2F1D}"/>
    <cellStyle name="Normal 4 6 4 3 3 3" xfId="22461" xr:uid="{C4094756-67D4-4CF0-87DD-AC992674B353}"/>
    <cellStyle name="Normal 4 6 4 3 4" xfId="9815" xr:uid="{33B1102C-C78D-4727-95ED-2CAC81A3B64A}"/>
    <cellStyle name="Normal 4 6 4 3 5" xfId="18244" xr:uid="{8276C320-F88E-4959-AFE7-E2BA180E5A1A}"/>
    <cellStyle name="Normal 4 6 4 4" xfId="1708" xr:uid="{00000000-0005-0000-0000-000083160000}"/>
    <cellStyle name="Normal 4 6 4 4 2" xfId="3938" xr:uid="{00000000-0005-0000-0000-000084160000}"/>
    <cellStyle name="Normal 4 6 4 4 2 2" xfId="8162" xr:uid="{00000000-0005-0000-0000-000085160000}"/>
    <cellStyle name="Normal 4 6 4 4 2 2 2" xfId="16591" xr:uid="{7A305929-8A55-4487-AF17-EBD9F9D970E7}"/>
    <cellStyle name="Normal 4 6 4 4 2 2 3" xfId="25019" xr:uid="{618F03DB-EA72-4B5B-8523-1CE8FAAFCDD3}"/>
    <cellStyle name="Normal 4 6 4 4 2 3" xfId="12373" xr:uid="{DAADF592-2D60-4E8C-B47B-E21A43D2B8EE}"/>
    <cellStyle name="Normal 4 6 4 4 2 4" xfId="20802" xr:uid="{2926B02E-5EB8-4830-B9B0-BF6CF76A4123}"/>
    <cellStyle name="Normal 4 6 4 4 3" xfId="6017" xr:uid="{00000000-0005-0000-0000-000086160000}"/>
    <cellStyle name="Normal 4 6 4 4 3 2" xfId="14446" xr:uid="{951A142E-230C-450C-870B-2F610250767A}"/>
    <cellStyle name="Normal 4 6 4 4 3 3" xfId="22874" xr:uid="{51B7D802-8DF0-493B-8237-E134B6DA8C4F}"/>
    <cellStyle name="Normal 4 6 4 4 4" xfId="10228" xr:uid="{E07EF24B-F984-4442-99DB-782930B6050D}"/>
    <cellStyle name="Normal 4 6 4 4 5" xfId="18657" xr:uid="{649A2F04-8AD5-4809-A004-134A84186E9D}"/>
    <cellStyle name="Normal 4 6 4 5" xfId="2122" xr:uid="{00000000-0005-0000-0000-000087160000}"/>
    <cellStyle name="Normal 4 6 4 5 2" xfId="4351" xr:uid="{00000000-0005-0000-0000-000088160000}"/>
    <cellStyle name="Normal 4 6 4 5 2 2" xfId="8575" xr:uid="{00000000-0005-0000-0000-000089160000}"/>
    <cellStyle name="Normal 4 6 4 5 2 2 2" xfId="17004" xr:uid="{827D042B-010D-4649-975F-DEFD220E0FBF}"/>
    <cellStyle name="Normal 4 6 4 5 2 2 3" xfId="25432" xr:uid="{37836FC2-65AA-4719-9BE1-BA90BBDD2F63}"/>
    <cellStyle name="Normal 4 6 4 5 2 3" xfId="12786" xr:uid="{288062D1-C065-44E4-ABE6-F2E3184D9CB5}"/>
    <cellStyle name="Normal 4 6 4 5 2 4" xfId="21215" xr:uid="{1019E3A3-F8C5-41B6-84DD-E09707AE84FC}"/>
    <cellStyle name="Normal 4 6 4 5 3" xfId="6430" xr:uid="{00000000-0005-0000-0000-00008A160000}"/>
    <cellStyle name="Normal 4 6 4 5 3 2" xfId="14859" xr:uid="{4E7E816B-0244-4AFA-871D-C7DD08FC59F8}"/>
    <cellStyle name="Normal 4 6 4 5 3 3" xfId="23287" xr:uid="{AAD45244-990F-43E3-9D69-8F8CF5A2639F}"/>
    <cellStyle name="Normal 4 6 4 5 4" xfId="10641" xr:uid="{10A00C0B-9C03-4C46-A9A0-1617AF58908A}"/>
    <cellStyle name="Normal 4 6 4 5 5" xfId="19070" xr:uid="{CC87A8B6-B0B8-4414-9E10-50DF56FB7CF2}"/>
    <cellStyle name="Normal 4 6 4 6" xfId="2558" xr:uid="{00000000-0005-0000-0000-00008B160000}"/>
    <cellStyle name="Normal 4 6 4 6 2" xfId="6843" xr:uid="{00000000-0005-0000-0000-00008C160000}"/>
    <cellStyle name="Normal 4 6 4 6 2 2" xfId="15272" xr:uid="{1520861B-0412-4847-9ACA-A02684E5DC70}"/>
    <cellStyle name="Normal 4 6 4 6 2 3" xfId="23700" xr:uid="{FBEAA04A-0990-47FA-9A13-4E63748E214F}"/>
    <cellStyle name="Normal 4 6 4 6 3" xfId="11054" xr:uid="{4437BD79-68DC-44ED-9C86-52F07E8613B9}"/>
    <cellStyle name="Normal 4 6 4 6 4" xfId="19483" xr:uid="{05478E2C-FF7B-4305-859D-7E62B4971109}"/>
    <cellStyle name="Normal 4 6 4 7" xfId="4778" xr:uid="{00000000-0005-0000-0000-00008D160000}"/>
    <cellStyle name="Normal 4 6 4 7 2" xfId="13207" xr:uid="{3F696D75-7A79-4D03-827D-AAC3ADACD698}"/>
    <cellStyle name="Normal 4 6 4 7 3" xfId="21635" xr:uid="{76F6F773-130E-45E1-93CA-BC6888134485}"/>
    <cellStyle name="Normal 4 6 4 8" xfId="8989" xr:uid="{707F79D4-FCBA-4E61-995A-48EEE0336F67}"/>
    <cellStyle name="Normal 4 6 4 9" xfId="17418" xr:uid="{9A0BA6A9-6332-4F4E-974B-498FA1C8012D}"/>
    <cellStyle name="Normal 4 6 5" xfId="870" xr:uid="{00000000-0005-0000-0000-00008E160000}"/>
    <cellStyle name="Normal 4 6 5 2" xfId="3105" xr:uid="{00000000-0005-0000-0000-00008F160000}"/>
    <cellStyle name="Normal 4 6 5 2 2" xfId="7329" xr:uid="{00000000-0005-0000-0000-000090160000}"/>
    <cellStyle name="Normal 4 6 5 2 2 2" xfId="15758" xr:uid="{C1CE8750-531A-48C1-871D-67F8D6F428BD}"/>
    <cellStyle name="Normal 4 6 5 2 2 3" xfId="24186" xr:uid="{A7A755F7-0FF0-48F9-B81A-6B5A28B5C037}"/>
    <cellStyle name="Normal 4 6 5 2 3" xfId="11540" xr:uid="{CE8B0648-3107-49A4-99B8-79AC9B0FF694}"/>
    <cellStyle name="Normal 4 6 5 2 4" xfId="19969" xr:uid="{13338764-AAC3-4E3D-AAF9-BBD89D048F3C}"/>
    <cellStyle name="Normal 4 6 5 3" xfId="5184" xr:uid="{00000000-0005-0000-0000-000091160000}"/>
    <cellStyle name="Normal 4 6 5 3 2" xfId="13613" xr:uid="{E6FB8318-F88E-43C6-8599-7AC95FFAB9B8}"/>
    <cellStyle name="Normal 4 6 5 3 3" xfId="22041" xr:uid="{FD6FDDB8-BCAE-42CB-AD5F-B05948849137}"/>
    <cellStyle name="Normal 4 6 5 4" xfId="9395" xr:uid="{0A929FAC-3EDC-489E-9988-2C4A19200848}"/>
    <cellStyle name="Normal 4 6 5 5" xfId="17824" xr:uid="{99ABCE0E-64E9-4E1E-AFE7-55852034FAAB}"/>
    <cellStyle name="Normal 4 6 6" xfId="1288" xr:uid="{00000000-0005-0000-0000-000092160000}"/>
    <cellStyle name="Normal 4 6 6 2" xfId="3518" xr:uid="{00000000-0005-0000-0000-000093160000}"/>
    <cellStyle name="Normal 4 6 6 2 2" xfId="7742" xr:uid="{00000000-0005-0000-0000-000094160000}"/>
    <cellStyle name="Normal 4 6 6 2 2 2" xfId="16171" xr:uid="{43C709EF-ADA3-40FF-AB6D-5522AAE47748}"/>
    <cellStyle name="Normal 4 6 6 2 2 3" xfId="24599" xr:uid="{DFD1CF2E-E2A6-4B01-934E-5B78FD376C61}"/>
    <cellStyle name="Normal 4 6 6 2 3" xfId="11953" xr:uid="{CB2C2D23-7EAB-4684-B406-E4D7F4341A6E}"/>
    <cellStyle name="Normal 4 6 6 2 4" xfId="20382" xr:uid="{2EE85B60-516E-4A92-A42F-361940C32784}"/>
    <cellStyle name="Normal 4 6 6 3" xfId="5597" xr:uid="{00000000-0005-0000-0000-000095160000}"/>
    <cellStyle name="Normal 4 6 6 3 2" xfId="14026" xr:uid="{D01CE8A2-8978-4C5D-81B4-943002FC1713}"/>
    <cellStyle name="Normal 4 6 6 3 3" xfId="22454" xr:uid="{EED1646B-39EF-4AEF-AD5B-53218D419D15}"/>
    <cellStyle name="Normal 4 6 6 4" xfId="9808" xr:uid="{23C26DB1-3DFC-4C34-B696-E300402988E8}"/>
    <cellStyle name="Normal 4 6 6 5" xfId="18237" xr:uid="{E128A597-F15C-4646-9816-BEECEC4761DB}"/>
    <cellStyle name="Normal 4 6 7" xfId="1701" xr:uid="{00000000-0005-0000-0000-000096160000}"/>
    <cellStyle name="Normal 4 6 7 2" xfId="3931" xr:uid="{00000000-0005-0000-0000-000097160000}"/>
    <cellStyle name="Normal 4 6 7 2 2" xfId="8155" xr:uid="{00000000-0005-0000-0000-000098160000}"/>
    <cellStyle name="Normal 4 6 7 2 2 2" xfId="16584" xr:uid="{3B9C2F1E-1E28-489C-8C9F-0E60028FEB3A}"/>
    <cellStyle name="Normal 4 6 7 2 2 3" xfId="25012" xr:uid="{6C4F0AF7-D714-48F3-AB30-3066D6A3EA36}"/>
    <cellStyle name="Normal 4 6 7 2 3" xfId="12366" xr:uid="{8AA381F3-426F-418C-BC1E-8682FF691378}"/>
    <cellStyle name="Normal 4 6 7 2 4" xfId="20795" xr:uid="{6539291E-2F1F-403B-92C4-87E1ECF42D3C}"/>
    <cellStyle name="Normal 4 6 7 3" xfId="6010" xr:uid="{00000000-0005-0000-0000-000099160000}"/>
    <cellStyle name="Normal 4 6 7 3 2" xfId="14439" xr:uid="{DEF6B9EE-1CD2-4B45-B02E-D9FF370DB5BA}"/>
    <cellStyle name="Normal 4 6 7 3 3" xfId="22867" xr:uid="{6A0B2524-93E3-4679-BB92-802588A22D95}"/>
    <cellStyle name="Normal 4 6 7 4" xfId="10221" xr:uid="{1A97174E-6AC1-44E4-AE37-AD441168C2AB}"/>
    <cellStyle name="Normal 4 6 7 5" xfId="18650" xr:uid="{8B3F822A-70D6-429D-844D-9E2EAC937761}"/>
    <cellStyle name="Normal 4 6 8" xfId="2115" xr:uid="{00000000-0005-0000-0000-00009A160000}"/>
    <cellStyle name="Normal 4 6 8 2" xfId="4344" xr:uid="{00000000-0005-0000-0000-00009B160000}"/>
    <cellStyle name="Normal 4 6 8 2 2" xfId="8568" xr:uid="{00000000-0005-0000-0000-00009C160000}"/>
    <cellStyle name="Normal 4 6 8 2 2 2" xfId="16997" xr:uid="{0AA24F53-DC9D-4E77-9A38-1033553B3901}"/>
    <cellStyle name="Normal 4 6 8 2 2 3" xfId="25425" xr:uid="{5F087EE7-B11E-4DDA-881B-082D8072D454}"/>
    <cellStyle name="Normal 4 6 8 2 3" xfId="12779" xr:uid="{D5517D8C-675E-4826-9743-1CA397E46FA0}"/>
    <cellStyle name="Normal 4 6 8 2 4" xfId="21208" xr:uid="{BF72F485-5257-4B4C-88B9-15461B41B227}"/>
    <cellStyle name="Normal 4 6 8 3" xfId="6423" xr:uid="{00000000-0005-0000-0000-00009D160000}"/>
    <cellStyle name="Normal 4 6 8 3 2" xfId="14852" xr:uid="{8C16401A-9B80-4708-9A42-486D427560C6}"/>
    <cellStyle name="Normal 4 6 8 3 3" xfId="23280" xr:uid="{F657C931-3D7A-40D7-8F51-E18C07F28E5B}"/>
    <cellStyle name="Normal 4 6 8 4" xfId="10634" xr:uid="{CDC9102D-8DA9-4388-A6B8-57C8685C6547}"/>
    <cellStyle name="Normal 4 6 8 5" xfId="19063" xr:uid="{76609D9C-0EB4-4AAA-B02E-74FC560D1FCA}"/>
    <cellStyle name="Normal 4 6 9" xfId="2551" xr:uid="{00000000-0005-0000-0000-00009E160000}"/>
    <cellStyle name="Normal 4 6 9 2" xfId="6836" xr:uid="{00000000-0005-0000-0000-00009F160000}"/>
    <cellStyle name="Normal 4 6 9 2 2" xfId="15265" xr:uid="{86B16B73-0C8A-4141-B773-DE30BE101330}"/>
    <cellStyle name="Normal 4 6 9 2 3" xfId="23693" xr:uid="{35CF0652-8191-4B60-86FD-DF08BC01FF29}"/>
    <cellStyle name="Normal 4 6 9 3" xfId="11047" xr:uid="{4991A213-8C7E-4701-BF7A-C715F863BED2}"/>
    <cellStyle name="Normal 4 6 9 4" xfId="19476" xr:uid="{CA6BADED-E9F5-425D-ADC3-5BF5576072C9}"/>
    <cellStyle name="Normal 4 7" xfId="403" xr:uid="{00000000-0005-0000-0000-0000A0160000}"/>
    <cellStyle name="Normal 4 7 10" xfId="17419" xr:uid="{5891C0C2-7D6A-4A90-8158-EB809410D5BD}"/>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7" xr:uid="{91D230E5-DE48-4837-B1AF-4BCE047179BE}"/>
    <cellStyle name="Normal 4 7 2 2 2 2 3" xfId="24195" xr:uid="{4EC53B04-833A-4A7C-911D-00D0967115B9}"/>
    <cellStyle name="Normal 4 7 2 2 2 3" xfId="11549" xr:uid="{FED89C53-E955-4FEB-AC98-E8326A241E78}"/>
    <cellStyle name="Normal 4 7 2 2 2 4" xfId="19978" xr:uid="{ABFD08AD-19D2-4E5B-9C89-A933C787198A}"/>
    <cellStyle name="Normal 4 7 2 2 3" xfId="5193" xr:uid="{00000000-0005-0000-0000-0000A5160000}"/>
    <cellStyle name="Normal 4 7 2 2 3 2" xfId="13622" xr:uid="{EAC40EDD-9F82-47DB-B170-3FB19D041F09}"/>
    <cellStyle name="Normal 4 7 2 2 3 3" xfId="22050" xr:uid="{24904A53-B47D-4B7C-A8DC-5709F0353460}"/>
    <cellStyle name="Normal 4 7 2 2 4" xfId="9404" xr:uid="{F1B04D9A-5247-4DCC-908E-ABD65CF76C4C}"/>
    <cellStyle name="Normal 4 7 2 2 5" xfId="17833" xr:uid="{7A1E206B-92CD-4794-8D31-AE3CA9FD414E}"/>
    <cellStyle name="Normal 4 7 2 3" xfId="1297" xr:uid="{00000000-0005-0000-0000-0000A6160000}"/>
    <cellStyle name="Normal 4 7 2 3 2" xfId="3527" xr:uid="{00000000-0005-0000-0000-0000A7160000}"/>
    <cellStyle name="Normal 4 7 2 3 2 2" xfId="7751" xr:uid="{00000000-0005-0000-0000-0000A8160000}"/>
    <cellStyle name="Normal 4 7 2 3 2 2 2" xfId="16180" xr:uid="{93072547-903A-45C8-9AF5-30D24CD8F38C}"/>
    <cellStyle name="Normal 4 7 2 3 2 2 3" xfId="24608" xr:uid="{DC13D13E-89D2-4237-B438-EBBD730480C1}"/>
    <cellStyle name="Normal 4 7 2 3 2 3" xfId="11962" xr:uid="{75264178-76F3-49C5-A74D-32DC861E3179}"/>
    <cellStyle name="Normal 4 7 2 3 2 4" xfId="20391" xr:uid="{2FA8814D-D385-4137-9B7B-C0659AB0ECD3}"/>
    <cellStyle name="Normal 4 7 2 3 3" xfId="5606" xr:uid="{00000000-0005-0000-0000-0000A9160000}"/>
    <cellStyle name="Normal 4 7 2 3 3 2" xfId="14035" xr:uid="{253EA5CD-74BC-4404-99B0-C5715A53975A}"/>
    <cellStyle name="Normal 4 7 2 3 3 3" xfId="22463" xr:uid="{2E36619A-E70F-4995-AE0D-70D778E05B7C}"/>
    <cellStyle name="Normal 4 7 2 3 4" xfId="9817" xr:uid="{FE44A200-4259-4AB7-B781-42D10DF5C5E1}"/>
    <cellStyle name="Normal 4 7 2 3 5" xfId="18246" xr:uid="{5AA0C9C9-B8D9-4E84-9728-D3C784F76FA1}"/>
    <cellStyle name="Normal 4 7 2 4" xfId="1710" xr:uid="{00000000-0005-0000-0000-0000AA160000}"/>
    <cellStyle name="Normal 4 7 2 4 2" xfId="3940" xr:uid="{00000000-0005-0000-0000-0000AB160000}"/>
    <cellStyle name="Normal 4 7 2 4 2 2" xfId="8164" xr:uid="{00000000-0005-0000-0000-0000AC160000}"/>
    <cellStyle name="Normal 4 7 2 4 2 2 2" xfId="16593" xr:uid="{2A908557-0D9A-41F6-99A3-116ABCC33338}"/>
    <cellStyle name="Normal 4 7 2 4 2 2 3" xfId="25021" xr:uid="{89736632-C141-4C23-836D-2141387A76F7}"/>
    <cellStyle name="Normal 4 7 2 4 2 3" xfId="12375" xr:uid="{87D099C6-475A-4C3D-98C2-0153FA34D598}"/>
    <cellStyle name="Normal 4 7 2 4 2 4" xfId="20804" xr:uid="{90BA82A3-D33E-4775-A7D0-C58CE7AA2C85}"/>
    <cellStyle name="Normal 4 7 2 4 3" xfId="6019" xr:uid="{00000000-0005-0000-0000-0000AD160000}"/>
    <cellStyle name="Normal 4 7 2 4 3 2" xfId="14448" xr:uid="{F707B1AF-4B27-46C4-B9C1-94969F6492A0}"/>
    <cellStyle name="Normal 4 7 2 4 3 3" xfId="22876" xr:uid="{1D98248D-C166-4185-8DF6-454D10CC3A23}"/>
    <cellStyle name="Normal 4 7 2 4 4" xfId="10230" xr:uid="{0465DB21-23AC-4950-A870-D03BF67432C0}"/>
    <cellStyle name="Normal 4 7 2 4 5" xfId="18659" xr:uid="{C5FD0217-5E1E-4DC1-A7C1-62E12F5D1D47}"/>
    <cellStyle name="Normal 4 7 2 5" xfId="2124" xr:uid="{00000000-0005-0000-0000-0000AE160000}"/>
    <cellStyle name="Normal 4 7 2 5 2" xfId="4353" xr:uid="{00000000-0005-0000-0000-0000AF160000}"/>
    <cellStyle name="Normal 4 7 2 5 2 2" xfId="8577" xr:uid="{00000000-0005-0000-0000-0000B0160000}"/>
    <cellStyle name="Normal 4 7 2 5 2 2 2" xfId="17006" xr:uid="{106D55A4-EE37-431D-9AAC-EB5CE4BDCE1A}"/>
    <cellStyle name="Normal 4 7 2 5 2 2 3" xfId="25434" xr:uid="{C856EB40-3812-46AF-8FF8-DAFA257E3AD6}"/>
    <cellStyle name="Normal 4 7 2 5 2 3" xfId="12788" xr:uid="{09F22656-8BCB-48E4-B105-E8A165CB2DD4}"/>
    <cellStyle name="Normal 4 7 2 5 2 4" xfId="21217" xr:uid="{A8936774-1AC9-414F-99A3-9D25293ACC7B}"/>
    <cellStyle name="Normal 4 7 2 5 3" xfId="6432" xr:uid="{00000000-0005-0000-0000-0000B1160000}"/>
    <cellStyle name="Normal 4 7 2 5 3 2" xfId="14861" xr:uid="{04829BD7-27E9-4FFE-93A6-479DFE9E8318}"/>
    <cellStyle name="Normal 4 7 2 5 3 3" xfId="23289" xr:uid="{CC160147-EC04-4876-A0D6-90DC8DD834DA}"/>
    <cellStyle name="Normal 4 7 2 5 4" xfId="10643" xr:uid="{BC064049-C4E3-4821-82FB-688929B90284}"/>
    <cellStyle name="Normal 4 7 2 5 5" xfId="19072" xr:uid="{BD013E30-839B-41DA-9843-34BB7CDC4CC1}"/>
    <cellStyle name="Normal 4 7 2 6" xfId="2560" xr:uid="{00000000-0005-0000-0000-0000B2160000}"/>
    <cellStyle name="Normal 4 7 2 6 2" xfId="6845" xr:uid="{00000000-0005-0000-0000-0000B3160000}"/>
    <cellStyle name="Normal 4 7 2 6 2 2" xfId="15274" xr:uid="{9D99EC0E-95FD-47D9-B23C-0A3C3D63E666}"/>
    <cellStyle name="Normal 4 7 2 6 2 3" xfId="23702" xr:uid="{12965D91-EA0E-46EB-8EC7-81C3CDAF4833}"/>
    <cellStyle name="Normal 4 7 2 6 3" xfId="11056" xr:uid="{8527C94B-4ABD-45CD-A665-9A42A215CDFD}"/>
    <cellStyle name="Normal 4 7 2 6 4" xfId="19485" xr:uid="{B29BEC38-23D2-432D-B5CE-71D51782D9A3}"/>
    <cellStyle name="Normal 4 7 2 7" xfId="4780" xr:uid="{00000000-0005-0000-0000-0000B4160000}"/>
    <cellStyle name="Normal 4 7 2 7 2" xfId="13209" xr:uid="{774F7A19-59BE-4895-85DB-0C460FBC6629}"/>
    <cellStyle name="Normal 4 7 2 7 3" xfId="21637" xr:uid="{6AC3832A-3B8B-43CD-9758-4B0FAD6E9FAC}"/>
    <cellStyle name="Normal 4 7 2 8" xfId="8991" xr:uid="{80A9BBD4-E925-4714-9638-7422A0D1EDDA}"/>
    <cellStyle name="Normal 4 7 2 9" xfId="17420" xr:uid="{0D6FA07D-29B8-4BCC-9FA5-1E27E63AB93D}"/>
    <cellStyle name="Normal 4 7 3" xfId="878" xr:uid="{00000000-0005-0000-0000-0000B5160000}"/>
    <cellStyle name="Normal 4 7 3 2" xfId="3113" xr:uid="{00000000-0005-0000-0000-0000B6160000}"/>
    <cellStyle name="Normal 4 7 3 2 2" xfId="7337" xr:uid="{00000000-0005-0000-0000-0000B7160000}"/>
    <cellStyle name="Normal 4 7 3 2 2 2" xfId="15766" xr:uid="{91ECDC20-CEC6-4A6A-BB6F-CF044D27C282}"/>
    <cellStyle name="Normal 4 7 3 2 2 3" xfId="24194" xr:uid="{178F6DEA-E30C-4017-825C-CCE971CA5E1B}"/>
    <cellStyle name="Normal 4 7 3 2 3" xfId="11548" xr:uid="{6AF48DD7-DD7D-4DF8-95CB-49EF3B674B49}"/>
    <cellStyle name="Normal 4 7 3 2 4" xfId="19977" xr:uid="{AE418F91-467C-4C09-B128-3400F2AE9162}"/>
    <cellStyle name="Normal 4 7 3 3" xfId="5192" xr:uid="{00000000-0005-0000-0000-0000B8160000}"/>
    <cellStyle name="Normal 4 7 3 3 2" xfId="13621" xr:uid="{BD2477D9-6576-4828-8362-A3535542E14C}"/>
    <cellStyle name="Normal 4 7 3 3 3" xfId="22049" xr:uid="{52419D96-BE80-4BE7-8223-611EA90DDA13}"/>
    <cellStyle name="Normal 4 7 3 4" xfId="9403" xr:uid="{4CB288D7-810C-48D7-BF00-C3C47667C218}"/>
    <cellStyle name="Normal 4 7 3 5" xfId="17832" xr:uid="{44D38E29-3F65-4B8E-9ABD-FAF046C8539D}"/>
    <cellStyle name="Normal 4 7 4" xfId="1296" xr:uid="{00000000-0005-0000-0000-0000B9160000}"/>
    <cellStyle name="Normal 4 7 4 2" xfId="3526" xr:uid="{00000000-0005-0000-0000-0000BA160000}"/>
    <cellStyle name="Normal 4 7 4 2 2" xfId="7750" xr:uid="{00000000-0005-0000-0000-0000BB160000}"/>
    <cellStyle name="Normal 4 7 4 2 2 2" xfId="16179" xr:uid="{6A3DDA79-8A76-4A8A-A8C5-6C82D23083DA}"/>
    <cellStyle name="Normal 4 7 4 2 2 3" xfId="24607" xr:uid="{36360A58-F179-419E-AE6A-80DD79EEE170}"/>
    <cellStyle name="Normal 4 7 4 2 3" xfId="11961" xr:uid="{4DB09829-C233-46CB-A2B7-4E56DB2B17F4}"/>
    <cellStyle name="Normal 4 7 4 2 4" xfId="20390" xr:uid="{232D3B7B-1A27-443F-84C0-0786A7DCBA08}"/>
    <cellStyle name="Normal 4 7 4 3" xfId="5605" xr:uid="{00000000-0005-0000-0000-0000BC160000}"/>
    <cellStyle name="Normal 4 7 4 3 2" xfId="14034" xr:uid="{C0ABFA1A-3F50-4154-A162-DDE9316BF29B}"/>
    <cellStyle name="Normal 4 7 4 3 3" xfId="22462" xr:uid="{E1407F1D-2B45-47B9-8090-A3391078029B}"/>
    <cellStyle name="Normal 4 7 4 4" xfId="9816" xr:uid="{13CA3672-3815-41F2-AA3B-C43EFF759CD1}"/>
    <cellStyle name="Normal 4 7 4 5" xfId="18245" xr:uid="{1157FF72-9B1E-46D6-A858-45402C4144D4}"/>
    <cellStyle name="Normal 4 7 5" xfId="1709" xr:uid="{00000000-0005-0000-0000-0000BD160000}"/>
    <cellStyle name="Normal 4 7 5 2" xfId="3939" xr:uid="{00000000-0005-0000-0000-0000BE160000}"/>
    <cellStyle name="Normal 4 7 5 2 2" xfId="8163" xr:uid="{00000000-0005-0000-0000-0000BF160000}"/>
    <cellStyle name="Normal 4 7 5 2 2 2" xfId="16592" xr:uid="{C26EBEE3-B46A-4423-87E9-BF421C8CF8C9}"/>
    <cellStyle name="Normal 4 7 5 2 2 3" xfId="25020" xr:uid="{BB4BA4CE-D752-418E-A0BA-82AAD88D169C}"/>
    <cellStyle name="Normal 4 7 5 2 3" xfId="12374" xr:uid="{4DADCAC8-2B2E-4E79-8C3B-DDBAF509519E}"/>
    <cellStyle name="Normal 4 7 5 2 4" xfId="20803" xr:uid="{5B22C039-6431-4488-8318-BB728AFD9DAB}"/>
    <cellStyle name="Normal 4 7 5 3" xfId="6018" xr:uid="{00000000-0005-0000-0000-0000C0160000}"/>
    <cellStyle name="Normal 4 7 5 3 2" xfId="14447" xr:uid="{21468031-C3D3-416E-9391-6DF6C9183EB9}"/>
    <cellStyle name="Normal 4 7 5 3 3" xfId="22875" xr:uid="{393ACA56-D07F-4A33-8638-197E2261DADE}"/>
    <cellStyle name="Normal 4 7 5 4" xfId="10229" xr:uid="{65F3CC8F-F762-4D02-A2E0-E0A765C9DCB6}"/>
    <cellStyle name="Normal 4 7 5 5" xfId="18658" xr:uid="{9C03EE87-719D-4249-872E-9A7B578403AF}"/>
    <cellStyle name="Normal 4 7 6" xfId="2123" xr:uid="{00000000-0005-0000-0000-0000C1160000}"/>
    <cellStyle name="Normal 4 7 6 2" xfId="4352" xr:uid="{00000000-0005-0000-0000-0000C2160000}"/>
    <cellStyle name="Normal 4 7 6 2 2" xfId="8576" xr:uid="{00000000-0005-0000-0000-0000C3160000}"/>
    <cellStyle name="Normal 4 7 6 2 2 2" xfId="17005" xr:uid="{A8A31657-1ECF-4BF4-A071-44524C0178D6}"/>
    <cellStyle name="Normal 4 7 6 2 2 3" xfId="25433" xr:uid="{FB515E25-6790-4D74-B10C-56E8424858CE}"/>
    <cellStyle name="Normal 4 7 6 2 3" xfId="12787" xr:uid="{08ADFBC6-85B3-4242-880D-E1028B68DBA4}"/>
    <cellStyle name="Normal 4 7 6 2 4" xfId="21216" xr:uid="{2E3B3FBA-8353-4ADB-BE6A-C265241EAD1B}"/>
    <cellStyle name="Normal 4 7 6 3" xfId="6431" xr:uid="{00000000-0005-0000-0000-0000C4160000}"/>
    <cellStyle name="Normal 4 7 6 3 2" xfId="14860" xr:uid="{CCD45647-C618-4C8E-9A50-FB54788FCDF9}"/>
    <cellStyle name="Normal 4 7 6 3 3" xfId="23288" xr:uid="{3F8F3E18-B5BC-478E-8C74-4B34010B1C20}"/>
    <cellStyle name="Normal 4 7 6 4" xfId="10642" xr:uid="{F8383151-0C92-4F9D-B256-1E09F9EE3B31}"/>
    <cellStyle name="Normal 4 7 6 5" xfId="19071" xr:uid="{40C13AE1-46B2-4912-B2D1-134CCE543D97}"/>
    <cellStyle name="Normal 4 7 7" xfId="2559" xr:uid="{00000000-0005-0000-0000-0000C5160000}"/>
    <cellStyle name="Normal 4 7 7 2" xfId="6844" xr:uid="{00000000-0005-0000-0000-0000C6160000}"/>
    <cellStyle name="Normal 4 7 7 2 2" xfId="15273" xr:uid="{02C7BD15-2011-40A3-9810-EFDDCE66CF41}"/>
    <cellStyle name="Normal 4 7 7 2 3" xfId="23701" xr:uid="{D88A1BA5-D1C1-4D90-AE6F-8BF90DFFE85E}"/>
    <cellStyle name="Normal 4 7 7 3" xfId="11055" xr:uid="{9FE51520-1805-4739-AA8D-F96B7657B804}"/>
    <cellStyle name="Normal 4 7 7 4" xfId="19484" xr:uid="{4DD9314A-E470-4205-8240-50798B4CF64F}"/>
    <cellStyle name="Normal 4 7 8" xfId="4779" xr:uid="{00000000-0005-0000-0000-0000C7160000}"/>
    <cellStyle name="Normal 4 7 8 2" xfId="13208" xr:uid="{6242C044-E7AD-4CA7-B25E-08B309FAF304}"/>
    <cellStyle name="Normal 4 7 8 3" xfId="21636" xr:uid="{FE3C5E6D-5134-4A13-9035-F6D10AB84ACC}"/>
    <cellStyle name="Normal 4 7 9" xfId="8990" xr:uid="{5CB9461E-F2E3-49E1-AEA2-1DE594372C89}"/>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8" xr:uid="{13262E4D-A3BF-4F99-B8E0-AAD6D71923F5}"/>
    <cellStyle name="Normal 4 8 2 2 2 3" xfId="24196" xr:uid="{9E3A6203-9092-411D-B6BD-FF5FF4045366}"/>
    <cellStyle name="Normal 4 8 2 2 3" xfId="11550" xr:uid="{0E9AE4ED-7A1D-4B2D-BB72-97F517537C01}"/>
    <cellStyle name="Normal 4 8 2 2 4" xfId="19979" xr:uid="{4233D320-3087-43CD-B74D-DD69BBC25D37}"/>
    <cellStyle name="Normal 4 8 2 3" xfId="5194" xr:uid="{00000000-0005-0000-0000-0000CC160000}"/>
    <cellStyle name="Normal 4 8 2 3 2" xfId="13623" xr:uid="{E9049EC9-87DE-40AE-AE60-00808799EC0B}"/>
    <cellStyle name="Normal 4 8 2 3 3" xfId="22051" xr:uid="{ACC4559A-D524-4532-907A-6A0C771F23F7}"/>
    <cellStyle name="Normal 4 8 2 4" xfId="9405" xr:uid="{FBDA38C8-8C6E-4022-B1CA-79CA9787738A}"/>
    <cellStyle name="Normal 4 8 2 5" xfId="17834" xr:uid="{A89C25BE-7902-4C86-B7B6-ED6F631E8656}"/>
    <cellStyle name="Normal 4 8 3" xfId="1298" xr:uid="{00000000-0005-0000-0000-0000CD160000}"/>
    <cellStyle name="Normal 4 8 3 2" xfId="3528" xr:uid="{00000000-0005-0000-0000-0000CE160000}"/>
    <cellStyle name="Normal 4 8 3 2 2" xfId="7752" xr:uid="{00000000-0005-0000-0000-0000CF160000}"/>
    <cellStyle name="Normal 4 8 3 2 2 2" xfId="16181" xr:uid="{B89CA47A-E744-4CE9-BC87-2B7DE57BA77D}"/>
    <cellStyle name="Normal 4 8 3 2 2 3" xfId="24609" xr:uid="{0E584F7B-11AF-4218-8A7F-057EA5E8B56C}"/>
    <cellStyle name="Normal 4 8 3 2 3" xfId="11963" xr:uid="{6854F88E-5021-4416-95E1-2949EA3243B4}"/>
    <cellStyle name="Normal 4 8 3 2 4" xfId="20392" xr:uid="{456963D1-E538-46AB-8F90-384C1A90BCDC}"/>
    <cellStyle name="Normal 4 8 3 3" xfId="5607" xr:uid="{00000000-0005-0000-0000-0000D0160000}"/>
    <cellStyle name="Normal 4 8 3 3 2" xfId="14036" xr:uid="{AE6D8267-E96C-4A12-8F14-4EC3E7DCE208}"/>
    <cellStyle name="Normal 4 8 3 3 3" xfId="22464" xr:uid="{6B455253-6E6D-4111-A8C0-EC4B2F336E9E}"/>
    <cellStyle name="Normal 4 8 3 4" xfId="9818" xr:uid="{A0EEA646-341B-4445-B6A5-93EA33720381}"/>
    <cellStyle name="Normal 4 8 3 5" xfId="18247" xr:uid="{1A4B8E12-71EC-426E-9A1A-362BEAEE7481}"/>
    <cellStyle name="Normal 4 8 4" xfId="1711" xr:uid="{00000000-0005-0000-0000-0000D1160000}"/>
    <cellStyle name="Normal 4 8 4 2" xfId="3941" xr:uid="{00000000-0005-0000-0000-0000D2160000}"/>
    <cellStyle name="Normal 4 8 4 2 2" xfId="8165" xr:uid="{00000000-0005-0000-0000-0000D3160000}"/>
    <cellStyle name="Normal 4 8 4 2 2 2" xfId="16594" xr:uid="{FF355744-D1FB-495C-A1ED-FCC6FC0C5DA3}"/>
    <cellStyle name="Normal 4 8 4 2 2 3" xfId="25022" xr:uid="{6FDC04D7-8815-46FA-A732-B3CD24CD2097}"/>
    <cellStyle name="Normal 4 8 4 2 3" xfId="12376" xr:uid="{93725845-FBA9-4A64-94B9-691BD89CF5EE}"/>
    <cellStyle name="Normal 4 8 4 2 4" xfId="20805" xr:uid="{AC8C041B-1E17-4923-AB76-716E7165DB37}"/>
    <cellStyle name="Normal 4 8 4 3" xfId="6020" xr:uid="{00000000-0005-0000-0000-0000D4160000}"/>
    <cellStyle name="Normal 4 8 4 3 2" xfId="14449" xr:uid="{95254E86-AE3C-403D-9833-66D98CDD4DE1}"/>
    <cellStyle name="Normal 4 8 4 3 3" xfId="22877" xr:uid="{08EE50E4-3CA3-47D9-AEC7-CBE7E58C1101}"/>
    <cellStyle name="Normal 4 8 4 4" xfId="10231" xr:uid="{2997A72F-DEFC-4B61-8201-5DD9EDE60B3D}"/>
    <cellStyle name="Normal 4 8 4 5" xfId="18660" xr:uid="{48453B15-84E6-419E-9483-04743745AFCE}"/>
    <cellStyle name="Normal 4 8 5" xfId="2125" xr:uid="{00000000-0005-0000-0000-0000D5160000}"/>
    <cellStyle name="Normal 4 8 5 2" xfId="4354" xr:uid="{00000000-0005-0000-0000-0000D6160000}"/>
    <cellStyle name="Normal 4 8 5 2 2" xfId="8578" xr:uid="{00000000-0005-0000-0000-0000D7160000}"/>
    <cellStyle name="Normal 4 8 5 2 2 2" xfId="17007" xr:uid="{985F468D-612A-4516-ACC5-2E13E365A8CE}"/>
    <cellStyle name="Normal 4 8 5 2 2 3" xfId="25435" xr:uid="{56AA22E4-D8D9-4EC5-BA8E-FCEF377E8F43}"/>
    <cellStyle name="Normal 4 8 5 2 3" xfId="12789" xr:uid="{1D78B860-45C0-4ED7-817A-1B8606E3D6BE}"/>
    <cellStyle name="Normal 4 8 5 2 4" xfId="21218" xr:uid="{0A805FC7-3E7D-408F-A012-D8A9B6406533}"/>
    <cellStyle name="Normal 4 8 5 3" xfId="6433" xr:uid="{00000000-0005-0000-0000-0000D8160000}"/>
    <cellStyle name="Normal 4 8 5 3 2" xfId="14862" xr:uid="{E943E553-6F82-48D7-B71B-D918DB7007B8}"/>
    <cellStyle name="Normal 4 8 5 3 3" xfId="23290" xr:uid="{1760F622-F5B0-4019-91AE-2C3A6B759BEE}"/>
    <cellStyle name="Normal 4 8 5 4" xfId="10644" xr:uid="{88479644-0BA0-4A0A-BB4A-E9C6E80B8902}"/>
    <cellStyle name="Normal 4 8 5 5" xfId="19073" xr:uid="{556D081E-BD85-41DF-B04E-B9F20D355397}"/>
    <cellStyle name="Normal 4 8 6" xfId="2561" xr:uid="{00000000-0005-0000-0000-0000D9160000}"/>
    <cellStyle name="Normal 4 8 6 2" xfId="6846" xr:uid="{00000000-0005-0000-0000-0000DA160000}"/>
    <cellStyle name="Normal 4 8 6 2 2" xfId="15275" xr:uid="{BB9BC296-543A-416F-B9F9-666EC06D01B2}"/>
    <cellStyle name="Normal 4 8 6 2 3" xfId="23703" xr:uid="{9A18D6E1-4895-49D3-B15B-5A06C040602C}"/>
    <cellStyle name="Normal 4 8 6 3" xfId="11057" xr:uid="{CC723313-668D-43DA-8928-0810E9C6DA47}"/>
    <cellStyle name="Normal 4 8 6 4" xfId="19486" xr:uid="{EE07DA04-2559-4CBE-A412-B7190504A828}"/>
    <cellStyle name="Normal 4 8 7" xfId="4781" xr:uid="{00000000-0005-0000-0000-0000DB160000}"/>
    <cellStyle name="Normal 4 8 7 2" xfId="13210" xr:uid="{60A39823-8606-44AE-8FA2-EC762D76C2B7}"/>
    <cellStyle name="Normal 4 8 7 3" xfId="21638" xr:uid="{4D0DD6FC-8B70-4901-ABB7-7F746097A5E1}"/>
    <cellStyle name="Normal 4 8 8" xfId="8992" xr:uid="{45E9E378-5353-4AF7-8312-8A7DBE1536D0}"/>
    <cellStyle name="Normal 4 8 9" xfId="17421" xr:uid="{9650A9BC-222C-4FAC-A884-A7A0493F2B53}"/>
    <cellStyle name="Normal 4 9" xfId="4718" xr:uid="{00000000-0005-0000-0000-0000DC160000}"/>
    <cellStyle name="Normal 4 9 2" xfId="13147" xr:uid="{644B162C-5739-4FAB-B442-5763244BA1BF}"/>
    <cellStyle name="Normal 4 9 3" xfId="21575" xr:uid="{B150CB00-8594-43C8-8E46-15E26A41356B}"/>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95" xr:uid="{2E82791D-5FCB-46D5-ABCB-80FBC901924A}"/>
    <cellStyle name="Normal 5 10 2 2 3" xfId="25023" xr:uid="{EBA4EF6B-4E4B-433A-A093-8943B1889A10}"/>
    <cellStyle name="Normal 5 10 2 3" xfId="12377" xr:uid="{3EA87107-20D7-455C-95DD-1744B199DC07}"/>
    <cellStyle name="Normal 5 10 2 4" xfId="20806" xr:uid="{AFE723E0-547A-4F27-99FC-F9FC79322CB6}"/>
    <cellStyle name="Normal 5 10 3" xfId="6021" xr:uid="{00000000-0005-0000-0000-0000E1160000}"/>
    <cellStyle name="Normal 5 10 3 2" xfId="14450" xr:uid="{BF1DD3C7-26A1-496F-A4CD-73E904D97309}"/>
    <cellStyle name="Normal 5 10 3 3" xfId="22878" xr:uid="{4CE15436-1ADB-4325-A2D4-5F5F42B0AABF}"/>
    <cellStyle name="Normal 5 10 4" xfId="10232" xr:uid="{2457CE0A-5195-4E1A-BA96-CCB3F7DDA3D9}"/>
    <cellStyle name="Normal 5 10 5" xfId="18661" xr:uid="{E2281768-AFD5-4D0C-8EFB-309166C97E09}"/>
    <cellStyle name="Normal 5 11" xfId="2126" xr:uid="{00000000-0005-0000-0000-0000E2160000}"/>
    <cellStyle name="Normal 5 11 2" xfId="4355" xr:uid="{00000000-0005-0000-0000-0000E3160000}"/>
    <cellStyle name="Normal 5 11 2 2" xfId="8579" xr:uid="{00000000-0005-0000-0000-0000E4160000}"/>
    <cellStyle name="Normal 5 11 2 2 2" xfId="17008" xr:uid="{1A71E84C-504D-4DC5-AD68-2D1E0EB55325}"/>
    <cellStyle name="Normal 5 11 2 2 3" xfId="25436" xr:uid="{417BFA2F-D860-44D9-B727-022A5F7FE2F2}"/>
    <cellStyle name="Normal 5 11 2 3" xfId="12790" xr:uid="{8B7CB9FF-56D9-4EED-8D61-F9C552F1880C}"/>
    <cellStyle name="Normal 5 11 2 4" xfId="21219" xr:uid="{035F9E33-DE83-4EEB-B930-31FEA002EF05}"/>
    <cellStyle name="Normal 5 11 3" xfId="6434" xr:uid="{00000000-0005-0000-0000-0000E5160000}"/>
    <cellStyle name="Normal 5 11 3 2" xfId="14863" xr:uid="{055C7563-88DC-40BF-8095-A8F823CDB9D9}"/>
    <cellStyle name="Normal 5 11 3 3" xfId="23291" xr:uid="{03617B69-81CE-4459-82B5-EDC82BCFDB46}"/>
    <cellStyle name="Normal 5 11 4" xfId="10645" xr:uid="{4AE417D1-F190-4C44-9AD7-61925D7B7624}"/>
    <cellStyle name="Normal 5 11 5" xfId="19074" xr:uid="{2396034F-D889-48B7-82D6-935520D21191}"/>
    <cellStyle name="Normal 5 12" xfId="2562" xr:uid="{00000000-0005-0000-0000-0000E6160000}"/>
    <cellStyle name="Normal 5 12 2" xfId="6847" xr:uid="{00000000-0005-0000-0000-0000E7160000}"/>
    <cellStyle name="Normal 5 12 2 2" xfId="15276" xr:uid="{C46EE512-BFBC-4F75-A493-B3220481DF00}"/>
    <cellStyle name="Normal 5 12 2 3" xfId="23704" xr:uid="{476C4504-6E29-44EF-914F-B49C4AF00657}"/>
    <cellStyle name="Normal 5 12 3" xfId="11058" xr:uid="{45C81450-57AE-4D83-BC34-DA998E0814E0}"/>
    <cellStyle name="Normal 5 12 4" xfId="19487" xr:uid="{FBCCF2D6-67E0-439D-A4E7-57AEFFFA3916}"/>
    <cellStyle name="Normal 5 13" xfId="4782" xr:uid="{00000000-0005-0000-0000-0000E8160000}"/>
    <cellStyle name="Normal 5 13 2" xfId="13211" xr:uid="{6A59317B-0A34-4056-91C7-53D6A3014969}"/>
    <cellStyle name="Normal 5 13 3" xfId="21639" xr:uid="{1F9CA1DF-3B22-451F-9553-4452197869D9}"/>
    <cellStyle name="Normal 5 14" xfId="8993" xr:uid="{EF454D0D-3B95-49EA-BE18-D09BC5D35591}"/>
    <cellStyle name="Normal 5 15" xfId="17422" xr:uid="{DB2B978F-989D-4AB6-9661-BE91F75059E8}"/>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9" xr:uid="{206D3B8E-A9E0-4ED6-AF78-E2A68484F33C}"/>
    <cellStyle name="Normal 5 2 10 2 2 3" xfId="25437" xr:uid="{C8E5F204-511B-47C8-9B0F-2182EC6AFC18}"/>
    <cellStyle name="Normal 5 2 10 2 3" xfId="12791" xr:uid="{8B91BDA5-D601-49FF-8DA7-08E4FC5ABE6B}"/>
    <cellStyle name="Normal 5 2 10 2 4" xfId="21220" xr:uid="{5B2222F5-7744-4DC5-ADF3-5F90ACF8B3C2}"/>
    <cellStyle name="Normal 5 2 10 3" xfId="6435" xr:uid="{00000000-0005-0000-0000-0000ED160000}"/>
    <cellStyle name="Normal 5 2 10 3 2" xfId="14864" xr:uid="{21D5DC78-C710-4B0F-9B32-FDE891B7E5EA}"/>
    <cellStyle name="Normal 5 2 10 3 3" xfId="23292" xr:uid="{6A358CED-A955-4829-AF38-5FF17D2C433D}"/>
    <cellStyle name="Normal 5 2 10 4" xfId="10646" xr:uid="{0A5FF52B-A073-4C17-A614-4992A50EAF71}"/>
    <cellStyle name="Normal 5 2 10 5" xfId="19075" xr:uid="{113C6290-439E-4473-BE01-C334D2B591C8}"/>
    <cellStyle name="Normal 5 2 11" xfId="2563" xr:uid="{00000000-0005-0000-0000-0000EE160000}"/>
    <cellStyle name="Normal 5 2 11 2" xfId="6848" xr:uid="{00000000-0005-0000-0000-0000EF160000}"/>
    <cellStyle name="Normal 5 2 11 2 2" xfId="15277" xr:uid="{862BFC10-692E-425E-B683-63A3EE6FD5EA}"/>
    <cellStyle name="Normal 5 2 11 2 3" xfId="23705" xr:uid="{396BF926-889F-41F4-A1D4-CA424DDDDA60}"/>
    <cellStyle name="Normal 5 2 11 3" xfId="11059" xr:uid="{2B70BF2D-DDD8-47A0-98CE-E1803378334E}"/>
    <cellStyle name="Normal 5 2 11 4" xfId="19488" xr:uid="{72F8A8B4-6FC3-4B34-9A08-BFE78A7E667E}"/>
    <cellStyle name="Normal 5 2 12" xfId="4783" xr:uid="{00000000-0005-0000-0000-0000F0160000}"/>
    <cellStyle name="Normal 5 2 12 2" xfId="13212" xr:uid="{ADB089FC-2A2B-41C9-BE62-9F8282FD9E23}"/>
    <cellStyle name="Normal 5 2 12 3" xfId="21640" xr:uid="{AFE5FA49-3F5F-4E70-9261-7070F46A1D3E}"/>
    <cellStyle name="Normal 5 2 13" xfId="8994" xr:uid="{D947FCE5-8397-4EBD-B2B7-20996D4DBD92}"/>
    <cellStyle name="Normal 5 2 14" xfId="17423" xr:uid="{93F75CA4-71E1-456A-AF7F-A3069EBED1CF}"/>
    <cellStyle name="Normal 5 2 2" xfId="408" xr:uid="{00000000-0005-0000-0000-0000F1160000}"/>
    <cellStyle name="Normal 5 2 2 10" xfId="2564" xr:uid="{00000000-0005-0000-0000-0000F2160000}"/>
    <cellStyle name="Normal 5 2 2 10 2" xfId="6849" xr:uid="{00000000-0005-0000-0000-0000F3160000}"/>
    <cellStyle name="Normal 5 2 2 10 2 2" xfId="15278" xr:uid="{372A2C3B-0BF6-41F4-A7F6-E30E37034466}"/>
    <cellStyle name="Normal 5 2 2 10 2 3" xfId="23706" xr:uid="{8E4D5706-866F-4ABE-99BA-3C3E91851185}"/>
    <cellStyle name="Normal 5 2 2 10 3" xfId="11060" xr:uid="{CE5A3AFF-535F-4B1C-8463-BE3F2E2E8501}"/>
    <cellStyle name="Normal 5 2 2 10 4" xfId="19489" xr:uid="{A9EC8924-D19B-4259-9E54-2BBC34624720}"/>
    <cellStyle name="Normal 5 2 2 11" xfId="4784" xr:uid="{00000000-0005-0000-0000-0000F4160000}"/>
    <cellStyle name="Normal 5 2 2 11 2" xfId="13213" xr:uid="{6C58AB27-7AB0-493B-B655-1E44BC7B7D4D}"/>
    <cellStyle name="Normal 5 2 2 11 3" xfId="21641" xr:uid="{264E068B-8197-4ED0-89F7-1B6B1F586B6F}"/>
    <cellStyle name="Normal 5 2 2 12" xfId="8995" xr:uid="{3F210AEB-7016-433B-8570-02BCE0CA76D0}"/>
    <cellStyle name="Normal 5 2 2 13" xfId="17424" xr:uid="{11A07100-AFAF-4F9D-B8E8-9BCC4CF4B3CE}"/>
    <cellStyle name="Normal 5 2 2 2" xfId="409" xr:uid="{00000000-0005-0000-0000-0000F5160000}"/>
    <cellStyle name="Normal 5 2 2 2 10" xfId="4785" xr:uid="{00000000-0005-0000-0000-0000F6160000}"/>
    <cellStyle name="Normal 5 2 2 2 10 2" xfId="13214" xr:uid="{525F579D-FC90-4A51-A333-FD935128399F}"/>
    <cellStyle name="Normal 5 2 2 2 10 3" xfId="21642" xr:uid="{86870F9C-B170-47F7-BBED-26AE582A1055}"/>
    <cellStyle name="Normal 5 2 2 2 11" xfId="8996" xr:uid="{BF78E9C6-AD20-488C-B8C1-AA5413E5072B}"/>
    <cellStyle name="Normal 5 2 2 2 12" xfId="17425" xr:uid="{7FBD8039-D7E6-4EF9-BB9B-EFAEBCB0F83A}"/>
    <cellStyle name="Normal 5 2 2 2 2" xfId="410" xr:uid="{00000000-0005-0000-0000-0000F7160000}"/>
    <cellStyle name="Normal 5 2 2 2 2 10" xfId="8997" xr:uid="{CD6EE6D4-B7C5-42BC-9903-B3AC79EF2714}"/>
    <cellStyle name="Normal 5 2 2 2 2 11" xfId="17426" xr:uid="{6E2626BC-7932-4792-A217-540EDDBDE13A}"/>
    <cellStyle name="Normal 5 2 2 2 2 2" xfId="411" xr:uid="{00000000-0005-0000-0000-0000F8160000}"/>
    <cellStyle name="Normal 5 2 2 2 2 2 10" xfId="17427" xr:uid="{F64D5F30-7B5E-4260-9F14-7DC543667835}"/>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75" xr:uid="{C9F50108-49C4-4D5C-BDA1-3D5E32FCF76C}"/>
    <cellStyle name="Normal 5 2 2 2 2 2 2 2 2 2 3" xfId="24203" xr:uid="{3C644590-9275-4A70-BEB9-4BAEB62D611E}"/>
    <cellStyle name="Normal 5 2 2 2 2 2 2 2 2 3" xfId="11557" xr:uid="{F035A0B7-2E1B-4A56-BA2B-EA8D3C3FB307}"/>
    <cellStyle name="Normal 5 2 2 2 2 2 2 2 2 4" xfId="19986" xr:uid="{9D48BFFB-F38A-486B-BB3D-9893C8FF2FD9}"/>
    <cellStyle name="Normal 5 2 2 2 2 2 2 2 3" xfId="5201" xr:uid="{00000000-0005-0000-0000-0000FD160000}"/>
    <cellStyle name="Normal 5 2 2 2 2 2 2 2 3 2" xfId="13630" xr:uid="{EC648EDA-FF60-4E09-8DA8-E29A318F4CE0}"/>
    <cellStyle name="Normal 5 2 2 2 2 2 2 2 3 3" xfId="22058" xr:uid="{87A17F5E-7A4A-4957-B7FD-4171531F5DAF}"/>
    <cellStyle name="Normal 5 2 2 2 2 2 2 2 4" xfId="9412" xr:uid="{B7CB40D6-0E78-4154-9B2A-04AD6733A246}"/>
    <cellStyle name="Normal 5 2 2 2 2 2 2 2 5" xfId="17841" xr:uid="{95DA33A4-A638-44A4-A9BC-1AC168A0131E}"/>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8" xr:uid="{B3506A94-0D81-43F5-8795-29DDE5F575E9}"/>
    <cellStyle name="Normal 5 2 2 2 2 2 2 3 2 2 3" xfId="24616" xr:uid="{61EC03FE-7C80-4559-8DF2-815F72274751}"/>
    <cellStyle name="Normal 5 2 2 2 2 2 2 3 2 3" xfId="11970" xr:uid="{EBBFB5A9-156B-4A84-BF5D-76B383F77FD7}"/>
    <cellStyle name="Normal 5 2 2 2 2 2 2 3 2 4" xfId="20399" xr:uid="{5EFFEA6D-CBA9-44B9-B697-21B606D05EEC}"/>
    <cellStyle name="Normal 5 2 2 2 2 2 2 3 3" xfId="5614" xr:uid="{00000000-0005-0000-0000-000001170000}"/>
    <cellStyle name="Normal 5 2 2 2 2 2 2 3 3 2" xfId="14043" xr:uid="{EF1999D8-90E8-4F2A-8F80-9B716F9DD259}"/>
    <cellStyle name="Normal 5 2 2 2 2 2 2 3 3 3" xfId="22471" xr:uid="{EC97B4FF-C123-4F5A-AC3C-DA116C3C0BC5}"/>
    <cellStyle name="Normal 5 2 2 2 2 2 2 3 4" xfId="9825" xr:uid="{61DC032A-E3C0-4A9C-8DE8-E3F6C698577F}"/>
    <cellStyle name="Normal 5 2 2 2 2 2 2 3 5" xfId="18254" xr:uid="{8E3CAE65-F20E-486E-BE34-51E8A78C3EAC}"/>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601" xr:uid="{0907C7A8-CE4D-40A9-8F4A-491A99AF1B8A}"/>
    <cellStyle name="Normal 5 2 2 2 2 2 2 4 2 2 3" xfId="25029" xr:uid="{C52F3B54-2E2A-4951-9394-E4ACED4B80EA}"/>
    <cellStyle name="Normal 5 2 2 2 2 2 2 4 2 3" xfId="12383" xr:uid="{0EF4D32A-47F2-4E22-998D-15F116886200}"/>
    <cellStyle name="Normal 5 2 2 2 2 2 2 4 2 4" xfId="20812" xr:uid="{24684163-314A-4C1B-A0F5-FA0BECDA435E}"/>
    <cellStyle name="Normal 5 2 2 2 2 2 2 4 3" xfId="6027" xr:uid="{00000000-0005-0000-0000-000005170000}"/>
    <cellStyle name="Normal 5 2 2 2 2 2 2 4 3 2" xfId="14456" xr:uid="{FB10211C-238C-4E5A-8424-0DAD85BE167F}"/>
    <cellStyle name="Normal 5 2 2 2 2 2 2 4 3 3" xfId="22884" xr:uid="{1420E970-4472-4D15-82CF-6DEDDEAAEADB}"/>
    <cellStyle name="Normal 5 2 2 2 2 2 2 4 4" xfId="10238" xr:uid="{90AE548E-1852-442F-97CC-39568F59E10E}"/>
    <cellStyle name="Normal 5 2 2 2 2 2 2 4 5" xfId="18667" xr:uid="{3BD534AD-88B3-418F-AB34-ED64AAD7C204}"/>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14" xr:uid="{93C68E5D-D437-46C5-9889-4C4360DA9EB8}"/>
    <cellStyle name="Normal 5 2 2 2 2 2 2 5 2 2 3" xfId="25442" xr:uid="{97757119-4055-42A6-8441-9A918FAF5036}"/>
    <cellStyle name="Normal 5 2 2 2 2 2 2 5 2 3" xfId="12796" xr:uid="{7958934D-2E1C-407E-ABF5-930B7E15E8F7}"/>
    <cellStyle name="Normal 5 2 2 2 2 2 2 5 2 4" xfId="21225" xr:uid="{94B54EB6-4501-47F5-BC9D-6595869328D2}"/>
    <cellStyle name="Normal 5 2 2 2 2 2 2 5 3" xfId="6440" xr:uid="{00000000-0005-0000-0000-000009170000}"/>
    <cellStyle name="Normal 5 2 2 2 2 2 2 5 3 2" xfId="14869" xr:uid="{A51B2E81-692B-4F04-B25E-4FB3C9BAC9F0}"/>
    <cellStyle name="Normal 5 2 2 2 2 2 2 5 3 3" xfId="23297" xr:uid="{0C987E49-BD73-40E2-A94F-C24B24695D66}"/>
    <cellStyle name="Normal 5 2 2 2 2 2 2 5 4" xfId="10651" xr:uid="{3D462654-9173-4B45-A5EE-C79CCD9EF663}"/>
    <cellStyle name="Normal 5 2 2 2 2 2 2 5 5" xfId="19080" xr:uid="{05BF18A0-58EF-4726-A470-A3FE22E23985}"/>
    <cellStyle name="Normal 5 2 2 2 2 2 2 6" xfId="2568" xr:uid="{00000000-0005-0000-0000-00000A170000}"/>
    <cellStyle name="Normal 5 2 2 2 2 2 2 6 2" xfId="6853" xr:uid="{00000000-0005-0000-0000-00000B170000}"/>
    <cellStyle name="Normal 5 2 2 2 2 2 2 6 2 2" xfId="15282" xr:uid="{AC96D7CE-ED25-4684-9B06-CB40C2B5ABF5}"/>
    <cellStyle name="Normal 5 2 2 2 2 2 2 6 2 3" xfId="23710" xr:uid="{B72E7A6E-8C73-4B27-AFBC-2A1792208B82}"/>
    <cellStyle name="Normal 5 2 2 2 2 2 2 6 3" xfId="11064" xr:uid="{ED2CE7AB-D3DC-44CF-83ED-8B04D247ECF9}"/>
    <cellStyle name="Normal 5 2 2 2 2 2 2 6 4" xfId="19493" xr:uid="{93F19334-6603-4F18-942E-E875AC785D9A}"/>
    <cellStyle name="Normal 5 2 2 2 2 2 2 7" xfId="4788" xr:uid="{00000000-0005-0000-0000-00000C170000}"/>
    <cellStyle name="Normal 5 2 2 2 2 2 2 7 2" xfId="13217" xr:uid="{1690F7D9-BD09-4613-A4F5-31993F475C01}"/>
    <cellStyle name="Normal 5 2 2 2 2 2 2 7 3" xfId="21645" xr:uid="{B16F0843-678B-4FC0-982E-B3B61AD48ABD}"/>
    <cellStyle name="Normal 5 2 2 2 2 2 2 8" xfId="8999" xr:uid="{5D60E258-2775-4E04-9B93-687AD5B89546}"/>
    <cellStyle name="Normal 5 2 2 2 2 2 2 9" xfId="17428" xr:uid="{DB949D56-AC0B-4FA2-9437-D4FDF2AF938B}"/>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74" xr:uid="{68A7C932-6547-4501-B5FA-9907AC59F191}"/>
    <cellStyle name="Normal 5 2 2 2 2 2 3 2 2 3" xfId="24202" xr:uid="{B306847C-BB9A-407E-90F7-09AC514AFDFF}"/>
    <cellStyle name="Normal 5 2 2 2 2 2 3 2 3" xfId="11556" xr:uid="{7A4E2361-8E0B-49A9-8CCA-900A9A3CE329}"/>
    <cellStyle name="Normal 5 2 2 2 2 2 3 2 4" xfId="19985" xr:uid="{1A7BA5A6-4C72-4044-A02D-9DE721FC39E9}"/>
    <cellStyle name="Normal 5 2 2 2 2 2 3 3" xfId="5200" xr:uid="{00000000-0005-0000-0000-000010170000}"/>
    <cellStyle name="Normal 5 2 2 2 2 2 3 3 2" xfId="13629" xr:uid="{10D6E93D-29D7-4B2E-8B38-A4EA543C6A33}"/>
    <cellStyle name="Normal 5 2 2 2 2 2 3 3 3" xfId="22057" xr:uid="{5A13D319-7EFD-4EFC-A943-3D2F885E833B}"/>
    <cellStyle name="Normal 5 2 2 2 2 2 3 4" xfId="9411" xr:uid="{CAFCA769-D91C-47EA-BF92-1BCD38990385}"/>
    <cellStyle name="Normal 5 2 2 2 2 2 3 5" xfId="17840" xr:uid="{76C59F58-010D-4EAF-9652-A0438415F135}"/>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7" xr:uid="{8E153D26-25B8-4E81-B7D8-CBF0214243F5}"/>
    <cellStyle name="Normal 5 2 2 2 2 2 4 2 2 3" xfId="24615" xr:uid="{F223C3C2-324F-403F-AF2E-20D480D745C9}"/>
    <cellStyle name="Normal 5 2 2 2 2 2 4 2 3" xfId="11969" xr:uid="{AD2782C2-8DF1-425E-AD1E-3A1CB2BB8D16}"/>
    <cellStyle name="Normal 5 2 2 2 2 2 4 2 4" xfId="20398" xr:uid="{29FC7511-A9F3-4492-BDC6-96AFCF47A855}"/>
    <cellStyle name="Normal 5 2 2 2 2 2 4 3" xfId="5613" xr:uid="{00000000-0005-0000-0000-000014170000}"/>
    <cellStyle name="Normal 5 2 2 2 2 2 4 3 2" xfId="14042" xr:uid="{05B0CE45-2440-41E4-AB66-4EB1467949E9}"/>
    <cellStyle name="Normal 5 2 2 2 2 2 4 3 3" xfId="22470" xr:uid="{9E30D5CB-0D5C-4132-8C3D-B9F53C8F17BA}"/>
    <cellStyle name="Normal 5 2 2 2 2 2 4 4" xfId="9824" xr:uid="{97256E1C-BB65-443A-BC26-467885A91880}"/>
    <cellStyle name="Normal 5 2 2 2 2 2 4 5" xfId="18253" xr:uid="{A6FBAF0B-F5B0-41E1-A0E4-E2DEE23B5691}"/>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600" xr:uid="{C5571E10-ED70-4596-98FA-771D9706550D}"/>
    <cellStyle name="Normal 5 2 2 2 2 2 5 2 2 3" xfId="25028" xr:uid="{DB0FF153-93A7-4060-918C-AAA851D20B24}"/>
    <cellStyle name="Normal 5 2 2 2 2 2 5 2 3" xfId="12382" xr:uid="{EC740482-6864-4122-A20B-76BB478E573B}"/>
    <cellStyle name="Normal 5 2 2 2 2 2 5 2 4" xfId="20811" xr:uid="{B72B9335-53AB-4939-8C67-441998E1FCF3}"/>
    <cellStyle name="Normal 5 2 2 2 2 2 5 3" xfId="6026" xr:uid="{00000000-0005-0000-0000-000018170000}"/>
    <cellStyle name="Normal 5 2 2 2 2 2 5 3 2" xfId="14455" xr:uid="{BDE2B90B-92D8-4C52-A75D-438E342FB38E}"/>
    <cellStyle name="Normal 5 2 2 2 2 2 5 3 3" xfId="22883" xr:uid="{9E6EF730-6FED-4FE9-BED1-E361BCE13C66}"/>
    <cellStyle name="Normal 5 2 2 2 2 2 5 4" xfId="10237" xr:uid="{440EED91-FFD8-4ED8-B6F0-479F9B3ACEAE}"/>
    <cellStyle name="Normal 5 2 2 2 2 2 5 5" xfId="18666" xr:uid="{2CCF636A-5D5F-45BE-B8EA-112DFBAAEC39}"/>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13" xr:uid="{C4EACBAA-8514-47FE-B1B7-D4B86651F168}"/>
    <cellStyle name="Normal 5 2 2 2 2 2 6 2 2 3" xfId="25441" xr:uid="{BCC91602-31B9-40ED-BC8C-A281099857FF}"/>
    <cellStyle name="Normal 5 2 2 2 2 2 6 2 3" xfId="12795" xr:uid="{7238B6FC-F729-4A4B-94B6-6BF5B24120D3}"/>
    <cellStyle name="Normal 5 2 2 2 2 2 6 2 4" xfId="21224" xr:uid="{2B02EBA9-80ED-4B03-B765-1BD3D89E90EF}"/>
    <cellStyle name="Normal 5 2 2 2 2 2 6 3" xfId="6439" xr:uid="{00000000-0005-0000-0000-00001C170000}"/>
    <cellStyle name="Normal 5 2 2 2 2 2 6 3 2" xfId="14868" xr:uid="{633B1BC8-5653-4F28-9160-BB8A4A359FB5}"/>
    <cellStyle name="Normal 5 2 2 2 2 2 6 3 3" xfId="23296" xr:uid="{D54AEF43-A749-4178-AE8D-E8A738E38181}"/>
    <cellStyle name="Normal 5 2 2 2 2 2 6 4" xfId="10650" xr:uid="{6B50F346-9D4F-4279-B054-70DA73DAF257}"/>
    <cellStyle name="Normal 5 2 2 2 2 2 6 5" xfId="19079" xr:uid="{E6F8345D-33F4-46EB-B294-3A7AFF6836E8}"/>
    <cellStyle name="Normal 5 2 2 2 2 2 7" xfId="2567" xr:uid="{00000000-0005-0000-0000-00001D170000}"/>
    <cellStyle name="Normal 5 2 2 2 2 2 7 2" xfId="6852" xr:uid="{00000000-0005-0000-0000-00001E170000}"/>
    <cellStyle name="Normal 5 2 2 2 2 2 7 2 2" xfId="15281" xr:uid="{7E9D037C-7D82-49D0-A419-7314BA9819E8}"/>
    <cellStyle name="Normal 5 2 2 2 2 2 7 2 3" xfId="23709" xr:uid="{87429942-A5A6-4348-9AE7-85FBCFD07441}"/>
    <cellStyle name="Normal 5 2 2 2 2 2 7 3" xfId="11063" xr:uid="{4B106784-BF7A-4D1D-BE3C-14926F293A74}"/>
    <cellStyle name="Normal 5 2 2 2 2 2 7 4" xfId="19492" xr:uid="{AB98F248-D828-4B7A-B1D1-015CEC2EA935}"/>
    <cellStyle name="Normal 5 2 2 2 2 2 8" xfId="4787" xr:uid="{00000000-0005-0000-0000-00001F170000}"/>
    <cellStyle name="Normal 5 2 2 2 2 2 8 2" xfId="13216" xr:uid="{AFB9B684-447B-4B13-A262-12A9C9A9DCD0}"/>
    <cellStyle name="Normal 5 2 2 2 2 2 8 3" xfId="21644" xr:uid="{3143120C-9454-429D-8647-B5C54350D42E}"/>
    <cellStyle name="Normal 5 2 2 2 2 2 9" xfId="8998" xr:uid="{67D14F7A-4D8F-4A67-9F37-A71AD7DD467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76" xr:uid="{117740A9-7634-4F8B-96BD-87D26AFCA132}"/>
    <cellStyle name="Normal 5 2 2 2 2 3 2 2 2 3" xfId="24204" xr:uid="{9648BC17-AB1E-4515-8AC1-4BD7CA204901}"/>
    <cellStyle name="Normal 5 2 2 2 2 3 2 2 3" xfId="11558" xr:uid="{F3411B27-4646-41E6-AFD9-34DFC3E987FE}"/>
    <cellStyle name="Normal 5 2 2 2 2 3 2 2 4" xfId="19987" xr:uid="{55B59AB6-C52A-49D7-8E86-DA35311E04CC}"/>
    <cellStyle name="Normal 5 2 2 2 2 3 2 3" xfId="5202" xr:uid="{00000000-0005-0000-0000-000024170000}"/>
    <cellStyle name="Normal 5 2 2 2 2 3 2 3 2" xfId="13631" xr:uid="{EB596705-29D8-4F11-B8D7-DF2B43C5D235}"/>
    <cellStyle name="Normal 5 2 2 2 2 3 2 3 3" xfId="22059" xr:uid="{3558FFE6-7041-4385-9AC1-C9B048BC5D06}"/>
    <cellStyle name="Normal 5 2 2 2 2 3 2 4" xfId="9413" xr:uid="{90058CBE-F14E-4E95-9880-56A8D4EE0F78}"/>
    <cellStyle name="Normal 5 2 2 2 2 3 2 5" xfId="17842" xr:uid="{910A1248-D30B-4DB9-B7D9-DF2C08992D0B}"/>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9" xr:uid="{68F65F05-B4E3-4A24-90EE-8BA499A02528}"/>
    <cellStyle name="Normal 5 2 2 2 2 3 3 2 2 3" xfId="24617" xr:uid="{3CA1E6C1-2E5B-44A2-9079-D55F13774787}"/>
    <cellStyle name="Normal 5 2 2 2 2 3 3 2 3" xfId="11971" xr:uid="{62DA9F7D-2ABF-4C47-8D7A-799327C8092B}"/>
    <cellStyle name="Normal 5 2 2 2 2 3 3 2 4" xfId="20400" xr:uid="{49AF3CAB-2D80-41B1-8608-079F42DDF6E2}"/>
    <cellStyle name="Normal 5 2 2 2 2 3 3 3" xfId="5615" xr:uid="{00000000-0005-0000-0000-000028170000}"/>
    <cellStyle name="Normal 5 2 2 2 2 3 3 3 2" xfId="14044" xr:uid="{FF2B7B32-A4DA-4253-A81B-401130CC7C46}"/>
    <cellStyle name="Normal 5 2 2 2 2 3 3 3 3" xfId="22472" xr:uid="{1DA5CB77-9C29-428A-99A0-FC86E6249D57}"/>
    <cellStyle name="Normal 5 2 2 2 2 3 3 4" xfId="9826" xr:uid="{639CDC8A-85F8-43D0-B506-93AE451631D4}"/>
    <cellStyle name="Normal 5 2 2 2 2 3 3 5" xfId="18255" xr:uid="{4D34B1DF-8C15-47C8-A990-E4E010EA4A52}"/>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602" xr:uid="{909EAFB1-DABA-4954-8C7C-0EB3D5BAE39C}"/>
    <cellStyle name="Normal 5 2 2 2 2 3 4 2 2 3" xfId="25030" xr:uid="{0250C937-7833-4F9C-A4A6-3D7030941032}"/>
    <cellStyle name="Normal 5 2 2 2 2 3 4 2 3" xfId="12384" xr:uid="{530A168A-121B-4DE1-82D6-D71109DBCFAE}"/>
    <cellStyle name="Normal 5 2 2 2 2 3 4 2 4" xfId="20813" xr:uid="{E4475F75-1DC1-410E-9DD7-97E3191E0EB4}"/>
    <cellStyle name="Normal 5 2 2 2 2 3 4 3" xfId="6028" xr:uid="{00000000-0005-0000-0000-00002C170000}"/>
    <cellStyle name="Normal 5 2 2 2 2 3 4 3 2" xfId="14457" xr:uid="{4758EE8B-7EA3-4219-85BF-3E96AFD52E57}"/>
    <cellStyle name="Normal 5 2 2 2 2 3 4 3 3" xfId="22885" xr:uid="{DEB3D01F-B271-439A-8A96-BBCD0D0D625D}"/>
    <cellStyle name="Normal 5 2 2 2 2 3 4 4" xfId="10239" xr:uid="{D2AEC2C8-C225-4E0C-8534-1A979B83DE0E}"/>
    <cellStyle name="Normal 5 2 2 2 2 3 4 5" xfId="18668" xr:uid="{2FECAE61-A013-44BF-93D0-71A58D390B9E}"/>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15" xr:uid="{E6FDF484-6739-4629-BB95-20E750235D7F}"/>
    <cellStyle name="Normal 5 2 2 2 2 3 5 2 2 3" xfId="25443" xr:uid="{14C9CEC7-C199-4DD4-910D-46D940AC8673}"/>
    <cellStyle name="Normal 5 2 2 2 2 3 5 2 3" xfId="12797" xr:uid="{5F6FA801-CAAD-4DFF-B5E8-2C6C0D295757}"/>
    <cellStyle name="Normal 5 2 2 2 2 3 5 2 4" xfId="21226" xr:uid="{40620AB9-7557-473A-8C0D-FB5CEB77C5B1}"/>
    <cellStyle name="Normal 5 2 2 2 2 3 5 3" xfId="6441" xr:uid="{00000000-0005-0000-0000-000030170000}"/>
    <cellStyle name="Normal 5 2 2 2 2 3 5 3 2" xfId="14870" xr:uid="{A2F82F01-5324-46BC-B4A2-19A2B290E2B6}"/>
    <cellStyle name="Normal 5 2 2 2 2 3 5 3 3" xfId="23298" xr:uid="{9EEF4114-3430-43DE-AC62-B008A99E31B8}"/>
    <cellStyle name="Normal 5 2 2 2 2 3 5 4" xfId="10652" xr:uid="{86431D31-D19E-48CD-961C-ED673ACE8C38}"/>
    <cellStyle name="Normal 5 2 2 2 2 3 5 5" xfId="19081" xr:uid="{AAC6CC34-87C3-4DCC-98D2-07B84702825D}"/>
    <cellStyle name="Normal 5 2 2 2 2 3 6" xfId="2569" xr:uid="{00000000-0005-0000-0000-000031170000}"/>
    <cellStyle name="Normal 5 2 2 2 2 3 6 2" xfId="6854" xr:uid="{00000000-0005-0000-0000-000032170000}"/>
    <cellStyle name="Normal 5 2 2 2 2 3 6 2 2" xfId="15283" xr:uid="{BE46FB95-43F1-47A9-A57E-8BC3BA63E235}"/>
    <cellStyle name="Normal 5 2 2 2 2 3 6 2 3" xfId="23711" xr:uid="{EBB4C9E1-2BA4-451D-BD58-81D36DF93914}"/>
    <cellStyle name="Normal 5 2 2 2 2 3 6 3" xfId="11065" xr:uid="{443E7940-8137-477E-8086-B3A93E8271EE}"/>
    <cellStyle name="Normal 5 2 2 2 2 3 6 4" xfId="19494" xr:uid="{BAAAC563-B299-4D36-B0D3-3948BFEDBC24}"/>
    <cellStyle name="Normal 5 2 2 2 2 3 7" xfId="4789" xr:uid="{00000000-0005-0000-0000-000033170000}"/>
    <cellStyle name="Normal 5 2 2 2 2 3 7 2" xfId="13218" xr:uid="{A1171621-76DF-461D-A6D0-A9E380ECE3DE}"/>
    <cellStyle name="Normal 5 2 2 2 2 3 7 3" xfId="21646" xr:uid="{EC43FD5D-10DD-4275-9989-E2F09B9E607D}"/>
    <cellStyle name="Normal 5 2 2 2 2 3 8" xfId="9000" xr:uid="{03BF7FCE-B57F-4C7B-9293-A2D412EE8486}"/>
    <cellStyle name="Normal 5 2 2 2 2 3 9" xfId="17429" xr:uid="{6AE6C477-368C-4AEB-B9CD-D02ECA5A20A8}"/>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73" xr:uid="{EDA05BD0-6514-4395-904E-D37D8A4DA00B}"/>
    <cellStyle name="Normal 5 2 2 2 2 4 2 2 3" xfId="24201" xr:uid="{63D58543-5021-494C-A3DD-E3B815354189}"/>
    <cellStyle name="Normal 5 2 2 2 2 4 2 3" xfId="11555" xr:uid="{0B783399-0357-4698-B489-0792DE1E3AE6}"/>
    <cellStyle name="Normal 5 2 2 2 2 4 2 4" xfId="19984" xr:uid="{80F54EE9-07B0-49A6-9BF2-171BF6DFBC5F}"/>
    <cellStyle name="Normal 5 2 2 2 2 4 3" xfId="5199" xr:uid="{00000000-0005-0000-0000-000037170000}"/>
    <cellStyle name="Normal 5 2 2 2 2 4 3 2" xfId="13628" xr:uid="{0DD4D8EC-2E61-491F-A371-B6C5E50445A9}"/>
    <cellStyle name="Normal 5 2 2 2 2 4 3 3" xfId="22056" xr:uid="{B1E83722-F3F8-4E5E-A7DC-ACECE7CA6D73}"/>
    <cellStyle name="Normal 5 2 2 2 2 4 4" xfId="9410" xr:uid="{18EF92E0-F436-49E2-8F3C-71F7BE1AB08D}"/>
    <cellStyle name="Normal 5 2 2 2 2 4 5" xfId="17839" xr:uid="{D96FA712-4E53-443F-9AE7-E68CE7EC4BB3}"/>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86" xr:uid="{1BA7296B-F976-4824-A149-4D939271432D}"/>
    <cellStyle name="Normal 5 2 2 2 2 5 2 2 3" xfId="24614" xr:uid="{1D3D27C2-7793-488D-B379-670FE4B7B6DC}"/>
    <cellStyle name="Normal 5 2 2 2 2 5 2 3" xfId="11968" xr:uid="{D80EA20A-1308-41D4-883E-21862149C734}"/>
    <cellStyle name="Normal 5 2 2 2 2 5 2 4" xfId="20397" xr:uid="{09B52AB7-480B-4628-B4CE-6A23D1F62A94}"/>
    <cellStyle name="Normal 5 2 2 2 2 5 3" xfId="5612" xr:uid="{00000000-0005-0000-0000-00003B170000}"/>
    <cellStyle name="Normal 5 2 2 2 2 5 3 2" xfId="14041" xr:uid="{08BCE53C-774C-46F9-8D5C-0ECD020306E4}"/>
    <cellStyle name="Normal 5 2 2 2 2 5 3 3" xfId="22469" xr:uid="{0FC24BD2-E58C-4292-A239-80ED50BA2800}"/>
    <cellStyle name="Normal 5 2 2 2 2 5 4" xfId="9823" xr:uid="{E4DE04EB-F72F-4D08-8F48-34AEA239E189}"/>
    <cellStyle name="Normal 5 2 2 2 2 5 5" xfId="18252" xr:uid="{51D768C7-34AB-4120-B5FD-1E3B34F16E36}"/>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9" xr:uid="{404FB709-2077-424E-AAE4-F50FB6641AC2}"/>
    <cellStyle name="Normal 5 2 2 2 2 6 2 2 3" xfId="25027" xr:uid="{405C6493-4261-4B32-B564-A2D01E37CC4F}"/>
    <cellStyle name="Normal 5 2 2 2 2 6 2 3" xfId="12381" xr:uid="{A5DEB201-098B-4B4F-ACE0-6DBD33EE6462}"/>
    <cellStyle name="Normal 5 2 2 2 2 6 2 4" xfId="20810" xr:uid="{942D1C2C-ABD6-4AFB-A2EF-E2470FE7954E}"/>
    <cellStyle name="Normal 5 2 2 2 2 6 3" xfId="6025" xr:uid="{00000000-0005-0000-0000-00003F170000}"/>
    <cellStyle name="Normal 5 2 2 2 2 6 3 2" xfId="14454" xr:uid="{3FBCFA99-F4AA-4AD9-96A5-4840EAC32909}"/>
    <cellStyle name="Normal 5 2 2 2 2 6 3 3" xfId="22882" xr:uid="{453B190F-EB6C-4561-9841-DF3D86DB2A1A}"/>
    <cellStyle name="Normal 5 2 2 2 2 6 4" xfId="10236" xr:uid="{D2CA74C9-DC71-44C2-8D63-7050BA5F39D9}"/>
    <cellStyle name="Normal 5 2 2 2 2 6 5" xfId="18665" xr:uid="{8AE7D53B-23A8-4D32-92F0-7FDC32F1332A}"/>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12" xr:uid="{EDA00951-001E-4271-8973-39BA523775FD}"/>
    <cellStyle name="Normal 5 2 2 2 2 7 2 2 3" xfId="25440" xr:uid="{C7E71171-C836-447E-BCD1-C6C51458E8B8}"/>
    <cellStyle name="Normal 5 2 2 2 2 7 2 3" xfId="12794" xr:uid="{C74C51F9-371D-47CB-9E8A-21176E10D93E}"/>
    <cellStyle name="Normal 5 2 2 2 2 7 2 4" xfId="21223" xr:uid="{255E25B8-CE44-419C-98AB-9E2C6721B795}"/>
    <cellStyle name="Normal 5 2 2 2 2 7 3" xfId="6438" xr:uid="{00000000-0005-0000-0000-000043170000}"/>
    <cellStyle name="Normal 5 2 2 2 2 7 3 2" xfId="14867" xr:uid="{3E7635FB-A385-4669-8EDB-77104F0C2378}"/>
    <cellStyle name="Normal 5 2 2 2 2 7 3 3" xfId="23295" xr:uid="{6CCAB2AC-C182-4D82-9354-8EBAACD63006}"/>
    <cellStyle name="Normal 5 2 2 2 2 7 4" xfId="10649" xr:uid="{B98451B7-FCFA-4B66-AE50-FCEE44A7AF2F}"/>
    <cellStyle name="Normal 5 2 2 2 2 7 5" xfId="19078" xr:uid="{1414DF7C-FFBF-4FD4-822A-B2F966A62EED}"/>
    <cellStyle name="Normal 5 2 2 2 2 8" xfId="2566" xr:uid="{00000000-0005-0000-0000-000044170000}"/>
    <cellStyle name="Normal 5 2 2 2 2 8 2" xfId="6851" xr:uid="{00000000-0005-0000-0000-000045170000}"/>
    <cellStyle name="Normal 5 2 2 2 2 8 2 2" xfId="15280" xr:uid="{73ED8F20-D50C-431F-ADB1-A509BA5F0D16}"/>
    <cellStyle name="Normal 5 2 2 2 2 8 2 3" xfId="23708" xr:uid="{D2F3E523-6C94-4F0F-8E1A-8B0B3C60D700}"/>
    <cellStyle name="Normal 5 2 2 2 2 8 3" xfId="11062" xr:uid="{E1E1FFAC-5D25-4C23-997D-2030D27AFD5A}"/>
    <cellStyle name="Normal 5 2 2 2 2 8 4" xfId="19491" xr:uid="{8B84EA2B-A525-4357-8A25-6511883BD307}"/>
    <cellStyle name="Normal 5 2 2 2 2 9" xfId="4786" xr:uid="{00000000-0005-0000-0000-000046170000}"/>
    <cellStyle name="Normal 5 2 2 2 2 9 2" xfId="13215" xr:uid="{3A34471B-2F77-44D5-8D93-3262F1C5B332}"/>
    <cellStyle name="Normal 5 2 2 2 2 9 3" xfId="21643" xr:uid="{8603F7FE-906F-44FC-877E-3291AA143A72}"/>
    <cellStyle name="Normal 5 2 2 2 3" xfId="414" xr:uid="{00000000-0005-0000-0000-000047170000}"/>
    <cellStyle name="Normal 5 2 2 2 3 10" xfId="17430" xr:uid="{E814CFC3-1D81-49DD-9740-BE96ACB46B7B}"/>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8" xr:uid="{EB40EA1E-E33B-468F-9481-4BFDA549DE70}"/>
    <cellStyle name="Normal 5 2 2 2 3 2 2 2 2 3" xfId="24206" xr:uid="{8BAE1FDA-273F-4905-990E-11321D14A4EC}"/>
    <cellStyle name="Normal 5 2 2 2 3 2 2 2 3" xfId="11560" xr:uid="{0C02407F-55DA-4B51-A969-1FB651F33488}"/>
    <cellStyle name="Normal 5 2 2 2 3 2 2 2 4" xfId="19989" xr:uid="{5E5B1931-5708-4A62-8E24-5AECE71D862F}"/>
    <cellStyle name="Normal 5 2 2 2 3 2 2 3" xfId="5204" xr:uid="{00000000-0005-0000-0000-00004C170000}"/>
    <cellStyle name="Normal 5 2 2 2 3 2 2 3 2" xfId="13633" xr:uid="{9FCBB722-57B4-44A6-8B61-95F394084E33}"/>
    <cellStyle name="Normal 5 2 2 2 3 2 2 3 3" xfId="22061" xr:uid="{A21866B6-A076-468E-9E9E-D6AE0160FBCC}"/>
    <cellStyle name="Normal 5 2 2 2 3 2 2 4" xfId="9415" xr:uid="{9ACE5097-86CB-4F76-A5E6-DFD01B22ED05}"/>
    <cellStyle name="Normal 5 2 2 2 3 2 2 5" xfId="17844" xr:uid="{1EBA6D26-7D69-4705-BA8F-0FA9EC1D6F3C}"/>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91" xr:uid="{C3B1FD42-0D8E-47B3-AF6B-52DD3ADECAED}"/>
    <cellStyle name="Normal 5 2 2 2 3 2 3 2 2 3" xfId="24619" xr:uid="{AC3F36B2-D6A0-4AA5-97CC-73B289AED250}"/>
    <cellStyle name="Normal 5 2 2 2 3 2 3 2 3" xfId="11973" xr:uid="{F3433D0F-9A0F-4EB7-B422-63EA975AD24C}"/>
    <cellStyle name="Normal 5 2 2 2 3 2 3 2 4" xfId="20402" xr:uid="{8E5B6C3F-59CC-4C0E-8625-27AA516B6ADB}"/>
    <cellStyle name="Normal 5 2 2 2 3 2 3 3" xfId="5617" xr:uid="{00000000-0005-0000-0000-000050170000}"/>
    <cellStyle name="Normal 5 2 2 2 3 2 3 3 2" xfId="14046" xr:uid="{B45BA303-7D3B-4BBB-9FFA-DEDA7F9E2239}"/>
    <cellStyle name="Normal 5 2 2 2 3 2 3 3 3" xfId="22474" xr:uid="{2ADC811F-14BA-4892-8442-55E7FCADF620}"/>
    <cellStyle name="Normal 5 2 2 2 3 2 3 4" xfId="9828" xr:uid="{5F2F9DDF-4C39-4FC2-8A4C-CA63C5F0BA0B}"/>
    <cellStyle name="Normal 5 2 2 2 3 2 3 5" xfId="18257" xr:uid="{032F4263-AE29-4FC5-ADDC-ECF5E1CF73A4}"/>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604" xr:uid="{B0B4F588-65BA-4B83-86E0-67C6D1D8AA64}"/>
    <cellStyle name="Normal 5 2 2 2 3 2 4 2 2 3" xfId="25032" xr:uid="{45C5E034-F614-41FF-BC7E-523CBA47E781}"/>
    <cellStyle name="Normal 5 2 2 2 3 2 4 2 3" xfId="12386" xr:uid="{3F44FEEE-D542-4645-BB17-05DF1729F002}"/>
    <cellStyle name="Normal 5 2 2 2 3 2 4 2 4" xfId="20815" xr:uid="{CF5E5F76-4760-439C-9074-0F7BD6257A49}"/>
    <cellStyle name="Normal 5 2 2 2 3 2 4 3" xfId="6030" xr:uid="{00000000-0005-0000-0000-000054170000}"/>
    <cellStyle name="Normal 5 2 2 2 3 2 4 3 2" xfId="14459" xr:uid="{369B8EE3-D41F-4F3D-ACC6-D00090DD69E4}"/>
    <cellStyle name="Normal 5 2 2 2 3 2 4 3 3" xfId="22887" xr:uid="{D3E9D70F-FFB6-4DA6-80D4-AE62D8D59008}"/>
    <cellStyle name="Normal 5 2 2 2 3 2 4 4" xfId="10241" xr:uid="{7DDD38C7-6283-4720-821A-EB9A6ECC35D1}"/>
    <cellStyle name="Normal 5 2 2 2 3 2 4 5" xfId="18670" xr:uid="{A39B8B0F-9AAE-4297-B8B8-13575D2C4BEE}"/>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7" xr:uid="{A70AC504-63B7-4FD5-ADA0-73EFD0B4B732}"/>
    <cellStyle name="Normal 5 2 2 2 3 2 5 2 2 3" xfId="25445" xr:uid="{5A21D4B6-350C-40C3-BE2D-18ECFEEC984E}"/>
    <cellStyle name="Normal 5 2 2 2 3 2 5 2 3" xfId="12799" xr:uid="{3A4C5A9E-054E-4437-8412-F21CEDD1DC2E}"/>
    <cellStyle name="Normal 5 2 2 2 3 2 5 2 4" xfId="21228" xr:uid="{51DE7D55-ADAF-4C40-8E3E-1F86F3E0C1E0}"/>
    <cellStyle name="Normal 5 2 2 2 3 2 5 3" xfId="6443" xr:uid="{00000000-0005-0000-0000-000058170000}"/>
    <cellStyle name="Normal 5 2 2 2 3 2 5 3 2" xfId="14872" xr:uid="{6408B49B-B1A6-468B-A777-CA6A043654AC}"/>
    <cellStyle name="Normal 5 2 2 2 3 2 5 3 3" xfId="23300" xr:uid="{1123E9DB-E8DA-446D-8675-3573A40E2E00}"/>
    <cellStyle name="Normal 5 2 2 2 3 2 5 4" xfId="10654" xr:uid="{D01E85BD-BA17-4925-A511-7AEB9BCE8D08}"/>
    <cellStyle name="Normal 5 2 2 2 3 2 5 5" xfId="19083" xr:uid="{93558805-A013-4E83-9587-797DB26C4238}"/>
    <cellStyle name="Normal 5 2 2 2 3 2 6" xfId="2571" xr:uid="{00000000-0005-0000-0000-000059170000}"/>
    <cellStyle name="Normal 5 2 2 2 3 2 6 2" xfId="6856" xr:uid="{00000000-0005-0000-0000-00005A170000}"/>
    <cellStyle name="Normal 5 2 2 2 3 2 6 2 2" xfId="15285" xr:uid="{3AFE3D9E-E42B-4669-B573-C2791638940F}"/>
    <cellStyle name="Normal 5 2 2 2 3 2 6 2 3" xfId="23713" xr:uid="{52145D2F-13E1-4BB9-9741-9C54CF208600}"/>
    <cellStyle name="Normal 5 2 2 2 3 2 6 3" xfId="11067" xr:uid="{F7DBF0C6-3AB3-4074-A87B-23052681681F}"/>
    <cellStyle name="Normal 5 2 2 2 3 2 6 4" xfId="19496" xr:uid="{94714E39-39FA-433E-8B88-7B1AF2B6813D}"/>
    <cellStyle name="Normal 5 2 2 2 3 2 7" xfId="4791" xr:uid="{00000000-0005-0000-0000-00005B170000}"/>
    <cellStyle name="Normal 5 2 2 2 3 2 7 2" xfId="13220" xr:uid="{DB393EF8-F322-4614-BCD1-F26A73E285D2}"/>
    <cellStyle name="Normal 5 2 2 2 3 2 7 3" xfId="21648" xr:uid="{02C0A508-BAAC-4E99-A8BC-D63C82286F79}"/>
    <cellStyle name="Normal 5 2 2 2 3 2 8" xfId="9002" xr:uid="{0B787A27-A4DF-4DD5-819D-19EDF15E7708}"/>
    <cellStyle name="Normal 5 2 2 2 3 2 9" xfId="17431" xr:uid="{3767942F-A112-424F-837E-783DDD6B4239}"/>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7" xr:uid="{9823AA92-C0FB-4270-9D04-EF441DF99D3C}"/>
    <cellStyle name="Normal 5 2 2 2 3 3 2 2 3" xfId="24205" xr:uid="{93FB274D-4C07-4171-8829-AFC0EA655AFD}"/>
    <cellStyle name="Normal 5 2 2 2 3 3 2 3" xfId="11559" xr:uid="{674AE598-07C8-4754-A6E9-AB2CE76241BC}"/>
    <cellStyle name="Normal 5 2 2 2 3 3 2 4" xfId="19988" xr:uid="{CCE39201-CFA8-41DD-BA83-0A3BD9C76409}"/>
    <cellStyle name="Normal 5 2 2 2 3 3 3" xfId="5203" xr:uid="{00000000-0005-0000-0000-00005F170000}"/>
    <cellStyle name="Normal 5 2 2 2 3 3 3 2" xfId="13632" xr:uid="{3690B68C-35C5-4B3D-B212-9B40DC080ECE}"/>
    <cellStyle name="Normal 5 2 2 2 3 3 3 3" xfId="22060" xr:uid="{D4142ED8-431F-4B59-8A01-7F6F708DDD48}"/>
    <cellStyle name="Normal 5 2 2 2 3 3 4" xfId="9414" xr:uid="{7E9EF96A-A157-455F-BFBE-CCF8DF2E9EE7}"/>
    <cellStyle name="Normal 5 2 2 2 3 3 5" xfId="17843" xr:uid="{F88FDEE6-38C4-4F9D-B065-2C68594BF1F9}"/>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90" xr:uid="{6711DA43-AFB9-43D6-97E6-6504F831D1D3}"/>
    <cellStyle name="Normal 5 2 2 2 3 4 2 2 3" xfId="24618" xr:uid="{A3760EBB-C2F8-4CD7-98BC-59D96EE09FD3}"/>
    <cellStyle name="Normal 5 2 2 2 3 4 2 3" xfId="11972" xr:uid="{CBD66C60-3F59-4C30-90BD-5BF6F5B6FE78}"/>
    <cellStyle name="Normal 5 2 2 2 3 4 2 4" xfId="20401" xr:uid="{BF0EC713-9CA0-497E-9954-CAE725714DE7}"/>
    <cellStyle name="Normal 5 2 2 2 3 4 3" xfId="5616" xr:uid="{00000000-0005-0000-0000-000063170000}"/>
    <cellStyle name="Normal 5 2 2 2 3 4 3 2" xfId="14045" xr:uid="{0B7A3DF9-3C11-456C-9B46-141E0F4EC083}"/>
    <cellStyle name="Normal 5 2 2 2 3 4 3 3" xfId="22473" xr:uid="{0DC13C55-4F73-40F2-AA4A-9D006AF8D446}"/>
    <cellStyle name="Normal 5 2 2 2 3 4 4" xfId="9827" xr:uid="{3E284367-653C-4827-9DC1-8B53241D36F3}"/>
    <cellStyle name="Normal 5 2 2 2 3 4 5" xfId="18256" xr:uid="{3304339D-F969-4BC9-AED3-B2C1B51118DA}"/>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603" xr:uid="{540B907D-8A9F-41A3-ABAA-E3A143FB7A0E}"/>
    <cellStyle name="Normal 5 2 2 2 3 5 2 2 3" xfId="25031" xr:uid="{F8160734-C97A-4EBB-A691-F372DD4A3822}"/>
    <cellStyle name="Normal 5 2 2 2 3 5 2 3" xfId="12385" xr:uid="{FE4BD7DE-EDEA-458B-AB89-EFE114D3362C}"/>
    <cellStyle name="Normal 5 2 2 2 3 5 2 4" xfId="20814" xr:uid="{DFE86F44-F4D8-49F1-8C93-5EECFDBFBE70}"/>
    <cellStyle name="Normal 5 2 2 2 3 5 3" xfId="6029" xr:uid="{00000000-0005-0000-0000-000067170000}"/>
    <cellStyle name="Normal 5 2 2 2 3 5 3 2" xfId="14458" xr:uid="{DE3EFB84-E57E-401D-880D-D8774491F880}"/>
    <cellStyle name="Normal 5 2 2 2 3 5 3 3" xfId="22886" xr:uid="{81D2457C-1774-48A4-B004-4F66930FE26A}"/>
    <cellStyle name="Normal 5 2 2 2 3 5 4" xfId="10240" xr:uid="{4F4EED48-7E3B-49C0-B3D3-8ACCEF82B1C4}"/>
    <cellStyle name="Normal 5 2 2 2 3 5 5" xfId="18669" xr:uid="{18316F72-1918-4CEB-823A-E423732B8766}"/>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16" xr:uid="{34C0CC7E-27FC-44DD-8BFA-03E8DE323F79}"/>
    <cellStyle name="Normal 5 2 2 2 3 6 2 2 3" xfId="25444" xr:uid="{009C37F6-6BE4-4CB2-9C2C-CC953FD0B23C}"/>
    <cellStyle name="Normal 5 2 2 2 3 6 2 3" xfId="12798" xr:uid="{12C2B180-82C5-4CD5-87C8-DC56391DEE8C}"/>
    <cellStyle name="Normal 5 2 2 2 3 6 2 4" xfId="21227" xr:uid="{7DB94B86-56BB-4977-AA12-06E75E793048}"/>
    <cellStyle name="Normal 5 2 2 2 3 6 3" xfId="6442" xr:uid="{00000000-0005-0000-0000-00006B170000}"/>
    <cellStyle name="Normal 5 2 2 2 3 6 3 2" xfId="14871" xr:uid="{C14DAB5C-B95C-4027-964B-4D1C0592B90F}"/>
    <cellStyle name="Normal 5 2 2 2 3 6 3 3" xfId="23299" xr:uid="{6AFE1A4C-6CC8-4AD0-AD1A-A862C045F57F}"/>
    <cellStyle name="Normal 5 2 2 2 3 6 4" xfId="10653" xr:uid="{63CA58F4-CFE6-402D-83DF-D773A3F4CCB6}"/>
    <cellStyle name="Normal 5 2 2 2 3 6 5" xfId="19082" xr:uid="{D017D040-B49C-455F-8D9A-8D860773EC72}"/>
    <cellStyle name="Normal 5 2 2 2 3 7" xfId="2570" xr:uid="{00000000-0005-0000-0000-00006C170000}"/>
    <cellStyle name="Normal 5 2 2 2 3 7 2" xfId="6855" xr:uid="{00000000-0005-0000-0000-00006D170000}"/>
    <cellStyle name="Normal 5 2 2 2 3 7 2 2" xfId="15284" xr:uid="{E8BEFB0E-D8AE-49ED-8ED6-C78CB5637A0E}"/>
    <cellStyle name="Normal 5 2 2 2 3 7 2 3" xfId="23712" xr:uid="{EB858E83-9230-454D-B13D-478B8D81A660}"/>
    <cellStyle name="Normal 5 2 2 2 3 7 3" xfId="11066" xr:uid="{8CD61C44-57EF-4810-BE6C-6CF5C44F0306}"/>
    <cellStyle name="Normal 5 2 2 2 3 7 4" xfId="19495" xr:uid="{9234C3BF-608A-4BC5-9A36-E7A23A43C449}"/>
    <cellStyle name="Normal 5 2 2 2 3 8" xfId="4790" xr:uid="{00000000-0005-0000-0000-00006E170000}"/>
    <cellStyle name="Normal 5 2 2 2 3 8 2" xfId="13219" xr:uid="{4B77ADFD-1D1E-45E3-91EA-90ACE1496A28}"/>
    <cellStyle name="Normal 5 2 2 2 3 8 3" xfId="21647" xr:uid="{A584ECB6-AAE4-47E6-BF28-478516A79B0A}"/>
    <cellStyle name="Normal 5 2 2 2 3 9" xfId="9001" xr:uid="{1E7C8174-FE78-49D8-B1DA-961693E44FDB}"/>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9" xr:uid="{ACE1C880-096F-404A-943F-98F302E663AC}"/>
    <cellStyle name="Normal 5 2 2 2 4 2 2 2 3" xfId="24207" xr:uid="{665AD7EA-7386-4194-9233-46B1661ADCCE}"/>
    <cellStyle name="Normal 5 2 2 2 4 2 2 3" xfId="11561" xr:uid="{9FD11139-1421-4D23-A4B1-06D3F7E8A3AF}"/>
    <cellStyle name="Normal 5 2 2 2 4 2 2 4" xfId="19990" xr:uid="{4812C09A-82B0-4330-A72B-C1DFF0BF5A35}"/>
    <cellStyle name="Normal 5 2 2 2 4 2 3" xfId="5205" xr:uid="{00000000-0005-0000-0000-000073170000}"/>
    <cellStyle name="Normal 5 2 2 2 4 2 3 2" xfId="13634" xr:uid="{63C94FF0-E777-4FB6-82B9-C6108F8A4DD6}"/>
    <cellStyle name="Normal 5 2 2 2 4 2 3 3" xfId="22062" xr:uid="{9429A18F-6331-417C-BBC9-45BCAAC0230D}"/>
    <cellStyle name="Normal 5 2 2 2 4 2 4" xfId="9416" xr:uid="{E2900981-CD75-4115-A61F-15016BC0219A}"/>
    <cellStyle name="Normal 5 2 2 2 4 2 5" xfId="17845" xr:uid="{245DFE9A-8A79-46F1-8218-096B4FB72BC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92" xr:uid="{A1D213CA-E057-488D-99D9-2C3EB97830D9}"/>
    <cellStyle name="Normal 5 2 2 2 4 3 2 2 3" xfId="24620" xr:uid="{523729A2-CAC0-429E-9F87-83938E5209C4}"/>
    <cellStyle name="Normal 5 2 2 2 4 3 2 3" xfId="11974" xr:uid="{C49E1CE3-4600-4B05-9190-A2A6CC979673}"/>
    <cellStyle name="Normal 5 2 2 2 4 3 2 4" xfId="20403" xr:uid="{057414EB-460E-478B-A548-70A6238D66BC}"/>
    <cellStyle name="Normal 5 2 2 2 4 3 3" xfId="5618" xr:uid="{00000000-0005-0000-0000-000077170000}"/>
    <cellStyle name="Normal 5 2 2 2 4 3 3 2" xfId="14047" xr:uid="{865D90D0-7809-41D1-A6FC-5FDDA8DAD2C2}"/>
    <cellStyle name="Normal 5 2 2 2 4 3 3 3" xfId="22475" xr:uid="{A5C41740-75D4-4501-BD4E-4DC640DA6CB8}"/>
    <cellStyle name="Normal 5 2 2 2 4 3 4" xfId="9829" xr:uid="{68BA73D2-0DA5-477D-983E-7F2147625414}"/>
    <cellStyle name="Normal 5 2 2 2 4 3 5" xfId="18258" xr:uid="{2CF6B936-D54B-415D-A3B6-D85CFB48647F}"/>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605" xr:uid="{E68E66F5-32DD-48DD-B74B-9361BCD73110}"/>
    <cellStyle name="Normal 5 2 2 2 4 4 2 2 3" xfId="25033" xr:uid="{1F174418-07E6-444E-BAC4-15B07B7F2515}"/>
    <cellStyle name="Normal 5 2 2 2 4 4 2 3" xfId="12387" xr:uid="{CBA34436-8975-4700-8FB2-15DAA24895BE}"/>
    <cellStyle name="Normal 5 2 2 2 4 4 2 4" xfId="20816" xr:uid="{6BABDA04-B1ED-42E7-A794-1FFA545EF3FB}"/>
    <cellStyle name="Normal 5 2 2 2 4 4 3" xfId="6031" xr:uid="{00000000-0005-0000-0000-00007B170000}"/>
    <cellStyle name="Normal 5 2 2 2 4 4 3 2" xfId="14460" xr:uid="{21ACA10F-18C8-4C32-A037-6763D66BC057}"/>
    <cellStyle name="Normal 5 2 2 2 4 4 3 3" xfId="22888" xr:uid="{8540B19C-C900-436D-942D-FA08EC39E6EF}"/>
    <cellStyle name="Normal 5 2 2 2 4 4 4" xfId="10242" xr:uid="{B93B200C-37EC-4DAD-B699-8EDFE41E21CF}"/>
    <cellStyle name="Normal 5 2 2 2 4 4 5" xfId="18671" xr:uid="{235B60FC-1859-4871-9500-23ED331F3598}"/>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8" xr:uid="{C071D43B-D5B6-4180-8E96-BDD993EBF429}"/>
    <cellStyle name="Normal 5 2 2 2 4 5 2 2 3" xfId="25446" xr:uid="{482667D9-502E-4F17-B9F5-2B5B9B4B2BD0}"/>
    <cellStyle name="Normal 5 2 2 2 4 5 2 3" xfId="12800" xr:uid="{4EC26246-F225-47F0-A220-BB86E4F93E14}"/>
    <cellStyle name="Normal 5 2 2 2 4 5 2 4" xfId="21229" xr:uid="{08C26EA0-B105-48D3-88F7-51E940F5F463}"/>
    <cellStyle name="Normal 5 2 2 2 4 5 3" xfId="6444" xr:uid="{00000000-0005-0000-0000-00007F170000}"/>
    <cellStyle name="Normal 5 2 2 2 4 5 3 2" xfId="14873" xr:uid="{A024D388-E166-4AE3-8C6A-B0D2C0B9D075}"/>
    <cellStyle name="Normal 5 2 2 2 4 5 3 3" xfId="23301" xr:uid="{CC7FF63A-C49D-4AAF-B672-DC13D99A8669}"/>
    <cellStyle name="Normal 5 2 2 2 4 5 4" xfId="10655" xr:uid="{BAD775D4-9469-4D91-8919-48C1D0DCD53E}"/>
    <cellStyle name="Normal 5 2 2 2 4 5 5" xfId="19084" xr:uid="{9F64370C-A746-4496-A0F6-B3D14348E47E}"/>
    <cellStyle name="Normal 5 2 2 2 4 6" xfId="2572" xr:uid="{00000000-0005-0000-0000-000080170000}"/>
    <cellStyle name="Normal 5 2 2 2 4 6 2" xfId="6857" xr:uid="{00000000-0005-0000-0000-000081170000}"/>
    <cellStyle name="Normal 5 2 2 2 4 6 2 2" xfId="15286" xr:uid="{2DACC583-91A5-4C7E-A360-9395154B10E3}"/>
    <cellStyle name="Normal 5 2 2 2 4 6 2 3" xfId="23714" xr:uid="{62C6EED2-1B9C-4426-9FE7-1CA712B94B6B}"/>
    <cellStyle name="Normal 5 2 2 2 4 6 3" xfId="11068" xr:uid="{A307C6F2-8E43-4DA2-AE1D-41FC962DDDC9}"/>
    <cellStyle name="Normal 5 2 2 2 4 6 4" xfId="19497" xr:uid="{EF2792DA-2B31-4ABA-A148-74AEBB089A68}"/>
    <cellStyle name="Normal 5 2 2 2 4 7" xfId="4792" xr:uid="{00000000-0005-0000-0000-000082170000}"/>
    <cellStyle name="Normal 5 2 2 2 4 7 2" xfId="13221" xr:uid="{0058F4CB-156C-47FC-BE7D-286A7A9C407C}"/>
    <cellStyle name="Normal 5 2 2 2 4 7 3" xfId="21649" xr:uid="{7E0CD483-5B48-44CE-AC4A-D7B45B993B8C}"/>
    <cellStyle name="Normal 5 2 2 2 4 8" xfId="9003" xr:uid="{875117F1-F86D-47B2-991C-3CFB7D7CBF86}"/>
    <cellStyle name="Normal 5 2 2 2 4 9" xfId="17432" xr:uid="{64DFA670-996D-43A5-8A05-5103A1FD4026}"/>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72" xr:uid="{69127DA1-6D9F-4C6F-8CC4-E2E5FD1493EE}"/>
    <cellStyle name="Normal 5 2 2 2 5 2 2 3" xfId="24200" xr:uid="{0B5AFE10-86F4-48C4-A8A5-D481ECB66D0D}"/>
    <cellStyle name="Normal 5 2 2 2 5 2 3" xfId="11554" xr:uid="{B4F5104F-6489-4DC1-882B-DC25650CADEB}"/>
    <cellStyle name="Normal 5 2 2 2 5 2 4" xfId="19983" xr:uid="{E4980F63-E3AA-4E6A-ACB6-C96802C4DD8F}"/>
    <cellStyle name="Normal 5 2 2 2 5 3" xfId="5198" xr:uid="{00000000-0005-0000-0000-000086170000}"/>
    <cellStyle name="Normal 5 2 2 2 5 3 2" xfId="13627" xr:uid="{DF80A6E3-4E8F-4C0E-90D2-283F6178B9A4}"/>
    <cellStyle name="Normal 5 2 2 2 5 3 3" xfId="22055" xr:uid="{E4951F60-D859-4779-9EE1-583307975636}"/>
    <cellStyle name="Normal 5 2 2 2 5 4" xfId="9409" xr:uid="{F27E8105-7F8C-4A84-827B-AD41497D5FE9}"/>
    <cellStyle name="Normal 5 2 2 2 5 5" xfId="17838" xr:uid="{B1958FCA-F121-4C20-B095-3F1F59D8DD12}"/>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85" xr:uid="{BCBAA485-8C1F-4E25-9DEB-72B0E90A4CE5}"/>
    <cellStyle name="Normal 5 2 2 2 6 2 2 3" xfId="24613" xr:uid="{59144A5A-2A6E-4954-B5FD-2A4870C18941}"/>
    <cellStyle name="Normal 5 2 2 2 6 2 3" xfId="11967" xr:uid="{8BA2EDDD-2C36-4F14-BB83-0ADBC41E18F3}"/>
    <cellStyle name="Normal 5 2 2 2 6 2 4" xfId="20396" xr:uid="{8B2583AC-3A14-4867-85AA-A39174ADD746}"/>
    <cellStyle name="Normal 5 2 2 2 6 3" xfId="5611" xr:uid="{00000000-0005-0000-0000-00008A170000}"/>
    <cellStyle name="Normal 5 2 2 2 6 3 2" xfId="14040" xr:uid="{919E6D96-50ED-46FF-808F-D9AB441427D2}"/>
    <cellStyle name="Normal 5 2 2 2 6 3 3" xfId="22468" xr:uid="{C30AA715-CB11-4EEF-A579-E34CB6C5BCF3}"/>
    <cellStyle name="Normal 5 2 2 2 6 4" xfId="9822" xr:uid="{1A3BE2A0-B7E5-4E1E-BB51-CED9A2CE7F3F}"/>
    <cellStyle name="Normal 5 2 2 2 6 5" xfId="18251" xr:uid="{DB8FE722-A559-42BD-A49C-4419734822AC}"/>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8" xr:uid="{031F7820-89E7-4C63-AC8A-CFC6581111FA}"/>
    <cellStyle name="Normal 5 2 2 2 7 2 2 3" xfId="25026" xr:uid="{A15684AA-8FF6-4D11-92A6-0B3AF59D1581}"/>
    <cellStyle name="Normal 5 2 2 2 7 2 3" xfId="12380" xr:uid="{37B33838-EDE6-4A8E-B718-E8ED1444B0CF}"/>
    <cellStyle name="Normal 5 2 2 2 7 2 4" xfId="20809" xr:uid="{38542AF2-C55B-4C98-8B9C-71BBF72DFC80}"/>
    <cellStyle name="Normal 5 2 2 2 7 3" xfId="6024" xr:uid="{00000000-0005-0000-0000-00008E170000}"/>
    <cellStyle name="Normal 5 2 2 2 7 3 2" xfId="14453" xr:uid="{C3987059-0761-4AA1-975E-FA05F54B947A}"/>
    <cellStyle name="Normal 5 2 2 2 7 3 3" xfId="22881" xr:uid="{43BA02F4-8FDE-4C4B-93F7-38FF367D1CC8}"/>
    <cellStyle name="Normal 5 2 2 2 7 4" xfId="10235" xr:uid="{61A59BD8-BCC2-406C-AD4B-3BDEA9DB42A6}"/>
    <cellStyle name="Normal 5 2 2 2 7 5" xfId="18664" xr:uid="{E3208FA4-2FE5-4F22-BA92-795F6F790C50}"/>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11" xr:uid="{0A44D4FB-E225-48C4-9E87-033CC9796EB5}"/>
    <cellStyle name="Normal 5 2 2 2 8 2 2 3" xfId="25439" xr:uid="{F42A2441-0F80-4DE3-B2BD-2BCBED73142A}"/>
    <cellStyle name="Normal 5 2 2 2 8 2 3" xfId="12793" xr:uid="{CD35BFCB-20F9-4F90-883E-C7E9B7744E5B}"/>
    <cellStyle name="Normal 5 2 2 2 8 2 4" xfId="21222" xr:uid="{01FB5727-B604-4B11-BB72-01850E81A847}"/>
    <cellStyle name="Normal 5 2 2 2 8 3" xfId="6437" xr:uid="{00000000-0005-0000-0000-000092170000}"/>
    <cellStyle name="Normal 5 2 2 2 8 3 2" xfId="14866" xr:uid="{81F2B6DE-413F-4979-9FC1-9314EFF86B0C}"/>
    <cellStyle name="Normal 5 2 2 2 8 3 3" xfId="23294" xr:uid="{358B7ACC-ADBE-42B9-8A22-8912902BEC9E}"/>
    <cellStyle name="Normal 5 2 2 2 8 4" xfId="10648" xr:uid="{D8C53D45-DBDD-42A7-9CA1-84EFD6F57548}"/>
    <cellStyle name="Normal 5 2 2 2 8 5" xfId="19077" xr:uid="{70909F88-2CB5-464F-B2A5-16A63102939A}"/>
    <cellStyle name="Normal 5 2 2 2 9" xfId="2565" xr:uid="{00000000-0005-0000-0000-000093170000}"/>
    <cellStyle name="Normal 5 2 2 2 9 2" xfId="6850" xr:uid="{00000000-0005-0000-0000-000094170000}"/>
    <cellStyle name="Normal 5 2 2 2 9 2 2" xfId="15279" xr:uid="{7216A7C4-47E0-4B9C-9AF3-56ECA89624EA}"/>
    <cellStyle name="Normal 5 2 2 2 9 2 3" xfId="23707" xr:uid="{BE54C167-8216-42DF-AE65-76BA99A92EDF}"/>
    <cellStyle name="Normal 5 2 2 2 9 3" xfId="11061" xr:uid="{907AF344-C970-449B-876D-6753FACBCF98}"/>
    <cellStyle name="Normal 5 2 2 2 9 4" xfId="19490" xr:uid="{BD5B7E11-ACAC-4878-BAC0-0F2944BE7193}"/>
    <cellStyle name="Normal 5 2 2 3" xfId="417" xr:uid="{00000000-0005-0000-0000-000095170000}"/>
    <cellStyle name="Normal 5 2 2 3 10" xfId="9004" xr:uid="{2F583F07-95A5-4347-9D0E-A18BD633FFF2}"/>
    <cellStyle name="Normal 5 2 2 3 11" xfId="17433" xr:uid="{CD8B4B27-A3E0-496C-929A-AE6C73827870}"/>
    <cellStyle name="Normal 5 2 2 3 2" xfId="418" xr:uid="{00000000-0005-0000-0000-000096170000}"/>
    <cellStyle name="Normal 5 2 2 3 2 10" xfId="17434" xr:uid="{93C937C1-987D-4346-8591-82266CF5BDC2}"/>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82" xr:uid="{F4ED7E4F-C1F5-4078-A8C2-306C05418DDA}"/>
    <cellStyle name="Normal 5 2 2 3 2 2 2 2 2 3" xfId="24210" xr:uid="{7707F243-AC9F-4A3F-9DB2-39210441DBED}"/>
    <cellStyle name="Normal 5 2 2 3 2 2 2 2 3" xfId="11564" xr:uid="{5CFB5D36-A756-4F1B-8FB5-1D24CB4F7877}"/>
    <cellStyle name="Normal 5 2 2 3 2 2 2 2 4" xfId="19993" xr:uid="{63176D62-B375-47B7-BCCB-F72CCFE9215D}"/>
    <cellStyle name="Normal 5 2 2 3 2 2 2 3" xfId="5208" xr:uid="{00000000-0005-0000-0000-00009B170000}"/>
    <cellStyle name="Normal 5 2 2 3 2 2 2 3 2" xfId="13637" xr:uid="{BB24B76B-0900-4918-9ACB-81EA0AEE8ED4}"/>
    <cellStyle name="Normal 5 2 2 3 2 2 2 3 3" xfId="22065" xr:uid="{88BC25AD-8CB3-43C2-9492-C4D4C5AD6996}"/>
    <cellStyle name="Normal 5 2 2 3 2 2 2 4" xfId="9419" xr:uid="{76783CC5-B1A8-4170-89C4-E9E84579CFDF}"/>
    <cellStyle name="Normal 5 2 2 3 2 2 2 5" xfId="17848" xr:uid="{B588BB78-1BE7-4AFB-9BE6-95BF8FDFFCC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95" xr:uid="{F4185D0E-0F72-4B9B-A18B-8C68380FA7F6}"/>
    <cellStyle name="Normal 5 2 2 3 2 2 3 2 2 3" xfId="24623" xr:uid="{671D778D-A193-40C8-B41F-587976EDF00E}"/>
    <cellStyle name="Normal 5 2 2 3 2 2 3 2 3" xfId="11977" xr:uid="{F099724E-EDDD-4DAF-8683-DC2892A1357A}"/>
    <cellStyle name="Normal 5 2 2 3 2 2 3 2 4" xfId="20406" xr:uid="{A9CC4E19-E664-44A3-BA06-2A3D6EFB1C7F}"/>
    <cellStyle name="Normal 5 2 2 3 2 2 3 3" xfId="5621" xr:uid="{00000000-0005-0000-0000-00009F170000}"/>
    <cellStyle name="Normal 5 2 2 3 2 2 3 3 2" xfId="14050" xr:uid="{7FC32210-6A4F-47C9-8238-99F3519F9A6B}"/>
    <cellStyle name="Normal 5 2 2 3 2 2 3 3 3" xfId="22478" xr:uid="{8D704F3F-9952-43B2-8363-117185502730}"/>
    <cellStyle name="Normal 5 2 2 3 2 2 3 4" xfId="9832" xr:uid="{F6DE9907-3A1B-4270-8FB7-0BB1F447CF82}"/>
    <cellStyle name="Normal 5 2 2 3 2 2 3 5" xfId="18261" xr:uid="{2E4CBF38-DF95-4DB9-B017-CDC1DAB004A8}"/>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8" xr:uid="{8F724670-F1FD-4E30-B8F5-76D1D165345C}"/>
    <cellStyle name="Normal 5 2 2 3 2 2 4 2 2 3" xfId="25036" xr:uid="{209CD8BA-D2B8-4D9A-8341-3A396DC4B3E0}"/>
    <cellStyle name="Normal 5 2 2 3 2 2 4 2 3" xfId="12390" xr:uid="{A47914EC-5F4C-439E-BB62-B78631F2D8B2}"/>
    <cellStyle name="Normal 5 2 2 3 2 2 4 2 4" xfId="20819" xr:uid="{AD542D92-3D19-4A85-A7F9-E798E5F57E87}"/>
    <cellStyle name="Normal 5 2 2 3 2 2 4 3" xfId="6034" xr:uid="{00000000-0005-0000-0000-0000A3170000}"/>
    <cellStyle name="Normal 5 2 2 3 2 2 4 3 2" xfId="14463" xr:uid="{3FD121F9-3994-48D8-98DA-FE8CB54BBBC5}"/>
    <cellStyle name="Normal 5 2 2 3 2 2 4 3 3" xfId="22891" xr:uid="{A0F0774F-3914-4D08-8653-8BC433D059B3}"/>
    <cellStyle name="Normal 5 2 2 3 2 2 4 4" xfId="10245" xr:uid="{B6F4B06D-F92A-4B56-84EA-AED65AC722B4}"/>
    <cellStyle name="Normal 5 2 2 3 2 2 4 5" xfId="18674" xr:uid="{794B8137-2130-4298-8BF2-6DBE76FB713B}"/>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21" xr:uid="{4419468D-8A38-40DA-B847-FFE5CFACAFF8}"/>
    <cellStyle name="Normal 5 2 2 3 2 2 5 2 2 3" xfId="25449" xr:uid="{9D9E0A24-6E89-422B-A88E-EC9B16F8DA96}"/>
    <cellStyle name="Normal 5 2 2 3 2 2 5 2 3" xfId="12803" xr:uid="{13A1432C-7FF5-4209-A01F-41DBC06D47CD}"/>
    <cellStyle name="Normal 5 2 2 3 2 2 5 2 4" xfId="21232" xr:uid="{20078731-C13C-4B74-B148-C9746EB1783B}"/>
    <cellStyle name="Normal 5 2 2 3 2 2 5 3" xfId="6447" xr:uid="{00000000-0005-0000-0000-0000A7170000}"/>
    <cellStyle name="Normal 5 2 2 3 2 2 5 3 2" xfId="14876" xr:uid="{0052E65A-615F-4BEB-B699-CB956AE55CB8}"/>
    <cellStyle name="Normal 5 2 2 3 2 2 5 3 3" xfId="23304" xr:uid="{7602B51A-1867-46B3-ADE2-F981C9A9F5C9}"/>
    <cellStyle name="Normal 5 2 2 3 2 2 5 4" xfId="10658" xr:uid="{A277658C-F394-4A1B-B1B0-34D2080EDEEE}"/>
    <cellStyle name="Normal 5 2 2 3 2 2 5 5" xfId="19087" xr:uid="{E11C8D3A-BC36-4407-A151-69387065DCCE}"/>
    <cellStyle name="Normal 5 2 2 3 2 2 6" xfId="2575" xr:uid="{00000000-0005-0000-0000-0000A8170000}"/>
    <cellStyle name="Normal 5 2 2 3 2 2 6 2" xfId="6860" xr:uid="{00000000-0005-0000-0000-0000A9170000}"/>
    <cellStyle name="Normal 5 2 2 3 2 2 6 2 2" xfId="15289" xr:uid="{9E078417-9D48-4A83-AA3B-1D41D63918BA}"/>
    <cellStyle name="Normal 5 2 2 3 2 2 6 2 3" xfId="23717" xr:uid="{E33F7888-A4D3-4882-A7E7-064E1A3C4DBC}"/>
    <cellStyle name="Normal 5 2 2 3 2 2 6 3" xfId="11071" xr:uid="{E78964D1-8FE8-4307-9A63-36423A6E6E2C}"/>
    <cellStyle name="Normal 5 2 2 3 2 2 6 4" xfId="19500" xr:uid="{094F0A71-97CC-431C-B27A-EBD329FDC039}"/>
    <cellStyle name="Normal 5 2 2 3 2 2 7" xfId="4795" xr:uid="{00000000-0005-0000-0000-0000AA170000}"/>
    <cellStyle name="Normal 5 2 2 3 2 2 7 2" xfId="13224" xr:uid="{6591A286-AE69-4DC0-A20F-4D2ADC958C6C}"/>
    <cellStyle name="Normal 5 2 2 3 2 2 7 3" xfId="21652" xr:uid="{9726B895-A936-40F7-AF9C-48DC34321BA5}"/>
    <cellStyle name="Normal 5 2 2 3 2 2 8" xfId="9006" xr:uid="{43ABA883-E691-497C-B2E1-1C1303E978CB}"/>
    <cellStyle name="Normal 5 2 2 3 2 2 9" xfId="17435" xr:uid="{2B92DCE6-CF57-4488-991D-04111160DF39}"/>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81" xr:uid="{E5C9392F-82A7-4DED-9F68-00F6A5483372}"/>
    <cellStyle name="Normal 5 2 2 3 2 3 2 2 3" xfId="24209" xr:uid="{22B5F88A-3D0B-4C07-84E0-29B4085DB3A1}"/>
    <cellStyle name="Normal 5 2 2 3 2 3 2 3" xfId="11563" xr:uid="{4290FDB5-1C7F-4BB8-8F42-B3B0502B481B}"/>
    <cellStyle name="Normal 5 2 2 3 2 3 2 4" xfId="19992" xr:uid="{464FCB2C-AA57-4BBE-BCC1-0663E54BB7FC}"/>
    <cellStyle name="Normal 5 2 2 3 2 3 3" xfId="5207" xr:uid="{00000000-0005-0000-0000-0000AE170000}"/>
    <cellStyle name="Normal 5 2 2 3 2 3 3 2" xfId="13636" xr:uid="{16F6FDEC-5B86-472F-94F8-0339F8A3F760}"/>
    <cellStyle name="Normal 5 2 2 3 2 3 3 3" xfId="22064" xr:uid="{43EE7B4A-017A-4812-8C27-486A4FCB431B}"/>
    <cellStyle name="Normal 5 2 2 3 2 3 4" xfId="9418" xr:uid="{4243A78E-6026-48F2-A391-444720E6B348}"/>
    <cellStyle name="Normal 5 2 2 3 2 3 5" xfId="17847" xr:uid="{3DD1B808-92F1-47A3-BE9E-7AB4D5A013B8}"/>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94" xr:uid="{0FCAADF7-2512-4B9C-8A30-66003A371E7A}"/>
    <cellStyle name="Normal 5 2 2 3 2 4 2 2 3" xfId="24622" xr:uid="{8F423478-38BE-42B7-B8DA-D3A8A3AEB9E9}"/>
    <cellStyle name="Normal 5 2 2 3 2 4 2 3" xfId="11976" xr:uid="{7ECF9DA8-8ED6-4D1F-B5B6-C67A9A9CAFE5}"/>
    <cellStyle name="Normal 5 2 2 3 2 4 2 4" xfId="20405" xr:uid="{2B5C5C44-06B7-4419-8484-1214139B4967}"/>
    <cellStyle name="Normal 5 2 2 3 2 4 3" xfId="5620" xr:uid="{00000000-0005-0000-0000-0000B2170000}"/>
    <cellStyle name="Normal 5 2 2 3 2 4 3 2" xfId="14049" xr:uid="{8043B84A-50C1-443A-BE40-B0FE8DAD1358}"/>
    <cellStyle name="Normal 5 2 2 3 2 4 3 3" xfId="22477" xr:uid="{5A4A3A31-020E-4D76-A2C2-752D7C44D8CD}"/>
    <cellStyle name="Normal 5 2 2 3 2 4 4" xfId="9831" xr:uid="{04B733C4-B567-4987-934E-ECAD95EA8632}"/>
    <cellStyle name="Normal 5 2 2 3 2 4 5" xfId="18260" xr:uid="{48F6FDF0-5E0D-4156-8C96-767F9B4F56E5}"/>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7" xr:uid="{424EDE42-A990-4059-86AE-5B19B66C3C1E}"/>
    <cellStyle name="Normal 5 2 2 3 2 5 2 2 3" xfId="25035" xr:uid="{86E4555F-004A-4368-B606-F857053D6067}"/>
    <cellStyle name="Normal 5 2 2 3 2 5 2 3" xfId="12389" xr:uid="{E64181E2-0F37-40D5-8044-65D1A1900E89}"/>
    <cellStyle name="Normal 5 2 2 3 2 5 2 4" xfId="20818" xr:uid="{3A71D8DA-1DFC-4F1C-B89F-D1C64312732B}"/>
    <cellStyle name="Normal 5 2 2 3 2 5 3" xfId="6033" xr:uid="{00000000-0005-0000-0000-0000B6170000}"/>
    <cellStyle name="Normal 5 2 2 3 2 5 3 2" xfId="14462" xr:uid="{D2251900-D171-47E4-B9DE-DF8DDAA3C2DA}"/>
    <cellStyle name="Normal 5 2 2 3 2 5 3 3" xfId="22890" xr:uid="{99D10557-3FD1-4711-A01B-6CEECCA46950}"/>
    <cellStyle name="Normal 5 2 2 3 2 5 4" xfId="10244" xr:uid="{5A054027-044B-488A-A5D2-DE60357EA449}"/>
    <cellStyle name="Normal 5 2 2 3 2 5 5" xfId="18673" xr:uid="{CCF57F3E-C10B-47ED-A021-FC43E64A183C}"/>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20" xr:uid="{202C680B-E211-4AF2-A061-DE4D239D1C89}"/>
    <cellStyle name="Normal 5 2 2 3 2 6 2 2 3" xfId="25448" xr:uid="{0A079008-1021-4CA9-B76B-ADBDEF8E6425}"/>
    <cellStyle name="Normal 5 2 2 3 2 6 2 3" xfId="12802" xr:uid="{0187BFF4-87AA-47AF-AF3E-F0A76622F3A0}"/>
    <cellStyle name="Normal 5 2 2 3 2 6 2 4" xfId="21231" xr:uid="{27FA61CC-62AF-4420-8FCF-5C6B58E8A1DD}"/>
    <cellStyle name="Normal 5 2 2 3 2 6 3" xfId="6446" xr:uid="{00000000-0005-0000-0000-0000BA170000}"/>
    <cellStyle name="Normal 5 2 2 3 2 6 3 2" xfId="14875" xr:uid="{0001AB95-7FE6-477B-9EA4-6BC7F28684B3}"/>
    <cellStyle name="Normal 5 2 2 3 2 6 3 3" xfId="23303" xr:uid="{072AE440-94E7-47D4-BC04-55E4EA4E711E}"/>
    <cellStyle name="Normal 5 2 2 3 2 6 4" xfId="10657" xr:uid="{B01D192F-7736-4BA3-9BAA-B8217FC6299B}"/>
    <cellStyle name="Normal 5 2 2 3 2 6 5" xfId="19086" xr:uid="{35FFD5B3-DEDD-4B99-8D04-E1F473026450}"/>
    <cellStyle name="Normal 5 2 2 3 2 7" xfId="2574" xr:uid="{00000000-0005-0000-0000-0000BB170000}"/>
    <cellStyle name="Normal 5 2 2 3 2 7 2" xfId="6859" xr:uid="{00000000-0005-0000-0000-0000BC170000}"/>
    <cellStyle name="Normal 5 2 2 3 2 7 2 2" xfId="15288" xr:uid="{208ECB02-D275-4CF4-9AE0-13FE2659C805}"/>
    <cellStyle name="Normal 5 2 2 3 2 7 2 3" xfId="23716" xr:uid="{CA09FC4B-1703-41CB-B8DA-42C2481EB3CD}"/>
    <cellStyle name="Normal 5 2 2 3 2 7 3" xfId="11070" xr:uid="{572767A1-7620-4071-BA45-556ABA2871AD}"/>
    <cellStyle name="Normal 5 2 2 3 2 7 4" xfId="19499" xr:uid="{8B9B628C-8DB9-4F5C-8B3F-89FFEA2D4605}"/>
    <cellStyle name="Normal 5 2 2 3 2 8" xfId="4794" xr:uid="{00000000-0005-0000-0000-0000BD170000}"/>
    <cellStyle name="Normal 5 2 2 3 2 8 2" xfId="13223" xr:uid="{9B73A5F0-1B9A-4460-BB6E-86D42F5A096D}"/>
    <cellStyle name="Normal 5 2 2 3 2 8 3" xfId="21651" xr:uid="{AEE708E1-A367-43E6-A826-7AE129EFF267}"/>
    <cellStyle name="Normal 5 2 2 3 2 9" xfId="9005" xr:uid="{E533643F-101F-4DF6-8A22-F66D56E6BBA4}"/>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83" xr:uid="{3EAFFE19-53C3-4C9B-8150-A1FDBD4D3020}"/>
    <cellStyle name="Normal 5 2 2 3 3 2 2 2 3" xfId="24211" xr:uid="{810035DF-C0F6-4EFF-A564-7368034F1A9E}"/>
    <cellStyle name="Normal 5 2 2 3 3 2 2 3" xfId="11565" xr:uid="{3F0A6FC5-CCDD-4FDD-ADD9-EDD90A25CA01}"/>
    <cellStyle name="Normal 5 2 2 3 3 2 2 4" xfId="19994" xr:uid="{F014418C-3CAE-467D-BE5A-9ACCB24BB3A7}"/>
    <cellStyle name="Normal 5 2 2 3 3 2 3" xfId="5209" xr:uid="{00000000-0005-0000-0000-0000C2170000}"/>
    <cellStyle name="Normal 5 2 2 3 3 2 3 2" xfId="13638" xr:uid="{125D9B45-EDAB-4E79-A4A9-809D031BCCE4}"/>
    <cellStyle name="Normal 5 2 2 3 3 2 3 3" xfId="22066" xr:uid="{10C09915-9170-49AB-AA27-AAB51B82DF53}"/>
    <cellStyle name="Normal 5 2 2 3 3 2 4" xfId="9420" xr:uid="{E70AFE97-823E-48BA-942D-5808B43930D8}"/>
    <cellStyle name="Normal 5 2 2 3 3 2 5" xfId="17849" xr:uid="{00AB8538-1F14-4006-B83B-992A0252DE6D}"/>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96" xr:uid="{9E6BD301-DEC1-48E2-AA38-FF933E545CD9}"/>
    <cellStyle name="Normal 5 2 2 3 3 3 2 2 3" xfId="24624" xr:uid="{8AB9971A-D32B-4854-889C-7A7E90050516}"/>
    <cellStyle name="Normal 5 2 2 3 3 3 2 3" xfId="11978" xr:uid="{2792E4CD-65CE-4AC7-89D2-43B2120BAF08}"/>
    <cellStyle name="Normal 5 2 2 3 3 3 2 4" xfId="20407" xr:uid="{7AC7943D-CF89-4D6E-BB76-850D76299B1B}"/>
    <cellStyle name="Normal 5 2 2 3 3 3 3" xfId="5622" xr:uid="{00000000-0005-0000-0000-0000C6170000}"/>
    <cellStyle name="Normal 5 2 2 3 3 3 3 2" xfId="14051" xr:uid="{AF25490B-EBC8-484B-8B6C-E8BDFCBBEFFB}"/>
    <cellStyle name="Normal 5 2 2 3 3 3 3 3" xfId="22479" xr:uid="{F23F1DDE-3C77-4C86-A59B-9AF570724DC3}"/>
    <cellStyle name="Normal 5 2 2 3 3 3 4" xfId="9833" xr:uid="{01FC748A-3022-4182-B060-4FBCEE8DFCAE}"/>
    <cellStyle name="Normal 5 2 2 3 3 3 5" xfId="18262" xr:uid="{CAA7BC2B-7FF2-47E9-A573-9F9A3C190466}"/>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9" xr:uid="{933155CC-0AB4-4740-A501-CA0D5682BCF0}"/>
    <cellStyle name="Normal 5 2 2 3 3 4 2 2 3" xfId="25037" xr:uid="{722C791E-2755-48BD-9FB4-69BC4C06FFC2}"/>
    <cellStyle name="Normal 5 2 2 3 3 4 2 3" xfId="12391" xr:uid="{4B600B99-09F6-4881-B494-0168662A93EC}"/>
    <cellStyle name="Normal 5 2 2 3 3 4 2 4" xfId="20820" xr:uid="{6448B79E-A7FE-4E2A-A381-D4B326D6CC01}"/>
    <cellStyle name="Normal 5 2 2 3 3 4 3" xfId="6035" xr:uid="{00000000-0005-0000-0000-0000CA170000}"/>
    <cellStyle name="Normal 5 2 2 3 3 4 3 2" xfId="14464" xr:uid="{D8809BC2-A54F-4FB5-899F-3BBE02CDA020}"/>
    <cellStyle name="Normal 5 2 2 3 3 4 3 3" xfId="22892" xr:uid="{48B1B63E-6F1F-4FE5-8D03-C060CC089C31}"/>
    <cellStyle name="Normal 5 2 2 3 3 4 4" xfId="10246" xr:uid="{64912D96-856C-48D7-9985-6B3F630DBCDB}"/>
    <cellStyle name="Normal 5 2 2 3 3 4 5" xfId="18675" xr:uid="{0EF9F2FD-C4FD-446C-8071-7DC4CD75C11D}"/>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22" xr:uid="{14701F0B-C7EC-4358-823A-47FB9DAB0890}"/>
    <cellStyle name="Normal 5 2 2 3 3 5 2 2 3" xfId="25450" xr:uid="{73ADAFEE-4D85-472D-8523-02A5E7A6E7F0}"/>
    <cellStyle name="Normal 5 2 2 3 3 5 2 3" xfId="12804" xr:uid="{DB6FD309-3303-4A57-94BA-7E2C919C1C77}"/>
    <cellStyle name="Normal 5 2 2 3 3 5 2 4" xfId="21233" xr:uid="{2E50A183-9C0C-4BE3-B10F-DCBD947FDDC3}"/>
    <cellStyle name="Normal 5 2 2 3 3 5 3" xfId="6448" xr:uid="{00000000-0005-0000-0000-0000CE170000}"/>
    <cellStyle name="Normal 5 2 2 3 3 5 3 2" xfId="14877" xr:uid="{7516C131-BDEE-4988-8ABE-DDBA52BD80F0}"/>
    <cellStyle name="Normal 5 2 2 3 3 5 3 3" xfId="23305" xr:uid="{189B5F4B-D1D4-4605-A4B8-32141B85E4F8}"/>
    <cellStyle name="Normal 5 2 2 3 3 5 4" xfId="10659" xr:uid="{861B6AD6-5C4E-4CDF-B6C9-473D53514553}"/>
    <cellStyle name="Normal 5 2 2 3 3 5 5" xfId="19088" xr:uid="{76E5E79A-4873-473F-BB1B-B8620441DC67}"/>
    <cellStyle name="Normal 5 2 2 3 3 6" xfId="2576" xr:uid="{00000000-0005-0000-0000-0000CF170000}"/>
    <cellStyle name="Normal 5 2 2 3 3 6 2" xfId="6861" xr:uid="{00000000-0005-0000-0000-0000D0170000}"/>
    <cellStyle name="Normal 5 2 2 3 3 6 2 2" xfId="15290" xr:uid="{28FB8805-82F8-43E4-B24B-4DA9BE5FC01C}"/>
    <cellStyle name="Normal 5 2 2 3 3 6 2 3" xfId="23718" xr:uid="{C70DA6F8-BE1C-40A2-BC37-6BBBA623188E}"/>
    <cellStyle name="Normal 5 2 2 3 3 6 3" xfId="11072" xr:uid="{9E1C99B1-6821-4584-B12E-7C9ED74D3310}"/>
    <cellStyle name="Normal 5 2 2 3 3 6 4" xfId="19501" xr:uid="{EA6F99B5-A6DE-40E2-AB4F-20E0FB2829C6}"/>
    <cellStyle name="Normal 5 2 2 3 3 7" xfId="4796" xr:uid="{00000000-0005-0000-0000-0000D1170000}"/>
    <cellStyle name="Normal 5 2 2 3 3 7 2" xfId="13225" xr:uid="{3078DB5B-C892-4955-8B53-A00A937F3924}"/>
    <cellStyle name="Normal 5 2 2 3 3 7 3" xfId="21653" xr:uid="{AFA01B5A-B63F-4809-8E09-37E94A47707C}"/>
    <cellStyle name="Normal 5 2 2 3 3 8" xfId="9007" xr:uid="{A51F2F4B-8769-4426-A416-F5E825D1ED10}"/>
    <cellStyle name="Normal 5 2 2 3 3 9" xfId="17436" xr:uid="{623828E0-E7D8-48F7-91B0-7E784BC8B686}"/>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80" xr:uid="{8F9A5835-5ADA-47D5-98EB-7FE56014C25B}"/>
    <cellStyle name="Normal 5 2 2 3 4 2 2 3" xfId="24208" xr:uid="{48CC8A80-64BD-4AD7-9929-0B1B5356D3BA}"/>
    <cellStyle name="Normal 5 2 2 3 4 2 3" xfId="11562" xr:uid="{2ED55CC3-13A8-4B31-81AB-09F51A6567CB}"/>
    <cellStyle name="Normal 5 2 2 3 4 2 4" xfId="19991" xr:uid="{022CBD7D-6387-4A78-A518-B2B6BCC2C486}"/>
    <cellStyle name="Normal 5 2 2 3 4 3" xfId="5206" xr:uid="{00000000-0005-0000-0000-0000D5170000}"/>
    <cellStyle name="Normal 5 2 2 3 4 3 2" xfId="13635" xr:uid="{F490E403-7519-475B-90CC-9882761975C7}"/>
    <cellStyle name="Normal 5 2 2 3 4 3 3" xfId="22063" xr:uid="{C931E75D-4363-4AA3-BD00-317B65903FF9}"/>
    <cellStyle name="Normal 5 2 2 3 4 4" xfId="9417" xr:uid="{0FD5269B-A781-4F6A-8CE4-9C1AD7DB2856}"/>
    <cellStyle name="Normal 5 2 2 3 4 5" xfId="17846" xr:uid="{FB2BB959-2ADA-430A-A624-5B508FCF6827}"/>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93" xr:uid="{BD8414D4-4A2D-4C3A-9C8C-B735156E2E1C}"/>
    <cellStyle name="Normal 5 2 2 3 5 2 2 3" xfId="24621" xr:uid="{427D7792-2397-407A-B813-F72FCCF940DF}"/>
    <cellStyle name="Normal 5 2 2 3 5 2 3" xfId="11975" xr:uid="{892B9B8E-2E76-430D-A1F0-1545029CB8EC}"/>
    <cellStyle name="Normal 5 2 2 3 5 2 4" xfId="20404" xr:uid="{7F0F2DDD-7ED5-49F9-9DCD-A1204FDA738F}"/>
    <cellStyle name="Normal 5 2 2 3 5 3" xfId="5619" xr:uid="{00000000-0005-0000-0000-0000D9170000}"/>
    <cellStyle name="Normal 5 2 2 3 5 3 2" xfId="14048" xr:uid="{112F703E-B87D-4FFD-9DD5-E3D01FF1EBF5}"/>
    <cellStyle name="Normal 5 2 2 3 5 3 3" xfId="22476" xr:uid="{8E327E4A-4E5B-4BDC-B668-0ED5D035DC22}"/>
    <cellStyle name="Normal 5 2 2 3 5 4" xfId="9830" xr:uid="{1AFA9FD5-76FA-4FAD-B389-92B75356C9FF}"/>
    <cellStyle name="Normal 5 2 2 3 5 5" xfId="18259" xr:uid="{860F3C1E-4005-4356-80A3-9373AC5FFA99}"/>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606" xr:uid="{F1E2A02E-8AB7-48FE-993D-DC76B22A98C6}"/>
    <cellStyle name="Normal 5 2 2 3 6 2 2 3" xfId="25034" xr:uid="{C3EC6E5F-091F-44DD-BC40-8440D00573B2}"/>
    <cellStyle name="Normal 5 2 2 3 6 2 3" xfId="12388" xr:uid="{1B5A4BA6-768C-4A1A-910A-894C8709B881}"/>
    <cellStyle name="Normal 5 2 2 3 6 2 4" xfId="20817" xr:uid="{CBDE6E26-6BCD-42E1-A982-8E339B6EF33D}"/>
    <cellStyle name="Normal 5 2 2 3 6 3" xfId="6032" xr:uid="{00000000-0005-0000-0000-0000DD170000}"/>
    <cellStyle name="Normal 5 2 2 3 6 3 2" xfId="14461" xr:uid="{37F136DD-DFEB-4740-AC15-2B4411A88902}"/>
    <cellStyle name="Normal 5 2 2 3 6 3 3" xfId="22889" xr:uid="{DC0D0A44-CE3B-4DFB-B084-21C57D7F3AB5}"/>
    <cellStyle name="Normal 5 2 2 3 6 4" xfId="10243" xr:uid="{A5CA6BBD-9734-40E0-B68F-EF3C37458C18}"/>
    <cellStyle name="Normal 5 2 2 3 6 5" xfId="18672" xr:uid="{BCB6A983-B662-4943-9A85-90F87DCA3EC5}"/>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9" xr:uid="{5178CB88-CF11-41C6-88DE-2CD708C0E20A}"/>
    <cellStyle name="Normal 5 2 2 3 7 2 2 3" xfId="25447" xr:uid="{EC3CD744-A773-4AA4-8E6C-34A3A229D103}"/>
    <cellStyle name="Normal 5 2 2 3 7 2 3" xfId="12801" xr:uid="{28288737-46CF-41B9-8B1A-E44535A0BAEA}"/>
    <cellStyle name="Normal 5 2 2 3 7 2 4" xfId="21230" xr:uid="{3938A213-0619-4F0D-B964-71D030412465}"/>
    <cellStyle name="Normal 5 2 2 3 7 3" xfId="6445" xr:uid="{00000000-0005-0000-0000-0000E1170000}"/>
    <cellStyle name="Normal 5 2 2 3 7 3 2" xfId="14874" xr:uid="{9042761C-B7A0-4F15-9273-41A2B0307B23}"/>
    <cellStyle name="Normal 5 2 2 3 7 3 3" xfId="23302" xr:uid="{F8EB49E2-1A3F-4BC8-95B6-401D0A2F334D}"/>
    <cellStyle name="Normal 5 2 2 3 7 4" xfId="10656" xr:uid="{93DE871E-3113-48BF-ACA7-58A10C261592}"/>
    <cellStyle name="Normal 5 2 2 3 7 5" xfId="19085" xr:uid="{6CDC8C7C-6573-4E40-A2D9-315AFFDFDF8B}"/>
    <cellStyle name="Normal 5 2 2 3 8" xfId="2573" xr:uid="{00000000-0005-0000-0000-0000E2170000}"/>
    <cellStyle name="Normal 5 2 2 3 8 2" xfId="6858" xr:uid="{00000000-0005-0000-0000-0000E3170000}"/>
    <cellStyle name="Normal 5 2 2 3 8 2 2" xfId="15287" xr:uid="{A6E9DF00-C20F-4882-AD3C-FE3F32C96B14}"/>
    <cellStyle name="Normal 5 2 2 3 8 2 3" xfId="23715" xr:uid="{7BEB29BE-A70F-417B-97CA-3A24D7AF8495}"/>
    <cellStyle name="Normal 5 2 2 3 8 3" xfId="11069" xr:uid="{7A024725-E0B8-4DC8-8985-259F3C66E011}"/>
    <cellStyle name="Normal 5 2 2 3 8 4" xfId="19498" xr:uid="{39601BE7-A5B6-4F98-92D5-0421BF18C142}"/>
    <cellStyle name="Normal 5 2 2 3 9" xfId="4793" xr:uid="{00000000-0005-0000-0000-0000E4170000}"/>
    <cellStyle name="Normal 5 2 2 3 9 2" xfId="13222" xr:uid="{8A4512BC-1218-4F43-9BC0-5F3800BD7B41}"/>
    <cellStyle name="Normal 5 2 2 3 9 3" xfId="21650" xr:uid="{DAB8405D-911E-4627-BB8D-E9FB6CEEE020}"/>
    <cellStyle name="Normal 5 2 2 4" xfId="421" xr:uid="{00000000-0005-0000-0000-0000E5170000}"/>
    <cellStyle name="Normal 5 2 2 4 10" xfId="17437" xr:uid="{33E8D163-EA0B-4614-B320-FB69E0F2F992}"/>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85" xr:uid="{6E1C9AF9-C1F9-45C1-9BD5-713C4F52A6C9}"/>
    <cellStyle name="Normal 5 2 2 4 2 2 2 2 3" xfId="24213" xr:uid="{9DCEEE8E-A82E-452C-B521-03AD24316EEE}"/>
    <cellStyle name="Normal 5 2 2 4 2 2 2 3" xfId="11567" xr:uid="{E605276C-254F-4CF2-8F4A-4BCD8FFC3C3D}"/>
    <cellStyle name="Normal 5 2 2 4 2 2 2 4" xfId="19996" xr:uid="{B3EA305F-B69C-4672-8C6D-933CF38D0922}"/>
    <cellStyle name="Normal 5 2 2 4 2 2 3" xfId="5211" xr:uid="{00000000-0005-0000-0000-0000EA170000}"/>
    <cellStyle name="Normal 5 2 2 4 2 2 3 2" xfId="13640" xr:uid="{26C58CB0-F168-40DD-AAA2-190E3B050DD9}"/>
    <cellStyle name="Normal 5 2 2 4 2 2 3 3" xfId="22068" xr:uid="{83DFF130-CFEF-42D4-ACEE-4CE20FC024D6}"/>
    <cellStyle name="Normal 5 2 2 4 2 2 4" xfId="9422" xr:uid="{D46A43EE-477B-44E3-A6B8-8D4F762EFFA0}"/>
    <cellStyle name="Normal 5 2 2 4 2 2 5" xfId="17851" xr:uid="{4F1A490D-81DF-4CAC-8AF7-D520C07C82C4}"/>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8" xr:uid="{81CA52FC-7829-42E5-999D-CB396DC91C1E}"/>
    <cellStyle name="Normal 5 2 2 4 2 3 2 2 3" xfId="24626" xr:uid="{AA7EF9E4-34FE-4D54-AE32-17F10009E040}"/>
    <cellStyle name="Normal 5 2 2 4 2 3 2 3" xfId="11980" xr:uid="{8F033C31-BA53-4DB1-9328-8694F4509563}"/>
    <cellStyle name="Normal 5 2 2 4 2 3 2 4" xfId="20409" xr:uid="{556042E8-74DD-428A-A3C9-2E235645D402}"/>
    <cellStyle name="Normal 5 2 2 4 2 3 3" xfId="5624" xr:uid="{00000000-0005-0000-0000-0000EE170000}"/>
    <cellStyle name="Normal 5 2 2 4 2 3 3 2" xfId="14053" xr:uid="{0017678D-F6A1-46FF-B4AC-F9086EFC1723}"/>
    <cellStyle name="Normal 5 2 2 4 2 3 3 3" xfId="22481" xr:uid="{310AA1E1-D945-4504-A79F-37A6B5F80675}"/>
    <cellStyle name="Normal 5 2 2 4 2 3 4" xfId="9835" xr:uid="{4332D812-1B60-4D43-B3AB-6731D1E13AF5}"/>
    <cellStyle name="Normal 5 2 2 4 2 3 5" xfId="18264" xr:uid="{152C17B1-2374-4ACC-92B2-C3B762A6BCDF}"/>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11" xr:uid="{693BB5A6-BCA8-4B79-B935-4593E1EC217E}"/>
    <cellStyle name="Normal 5 2 2 4 2 4 2 2 3" xfId="25039" xr:uid="{6E1D4DF5-9C51-4900-9D20-0CA4A70EFB46}"/>
    <cellStyle name="Normal 5 2 2 4 2 4 2 3" xfId="12393" xr:uid="{BE3DA541-CC73-4C77-B254-80D39B86CF7E}"/>
    <cellStyle name="Normal 5 2 2 4 2 4 2 4" xfId="20822" xr:uid="{7C4BA3EC-E9FB-44E6-89AD-B0E6857ECBC9}"/>
    <cellStyle name="Normal 5 2 2 4 2 4 3" xfId="6037" xr:uid="{00000000-0005-0000-0000-0000F2170000}"/>
    <cellStyle name="Normal 5 2 2 4 2 4 3 2" xfId="14466" xr:uid="{FEFA4DFE-44CB-4560-9DBC-7C205E064E60}"/>
    <cellStyle name="Normal 5 2 2 4 2 4 3 3" xfId="22894" xr:uid="{BE8FFC75-A0E7-449D-8B8C-F435834CB508}"/>
    <cellStyle name="Normal 5 2 2 4 2 4 4" xfId="10248" xr:uid="{DA4D8626-A353-4869-9853-173B3BFBD64E}"/>
    <cellStyle name="Normal 5 2 2 4 2 4 5" xfId="18677" xr:uid="{65A8A57F-3183-4432-9850-35F8DFD64AA9}"/>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24" xr:uid="{7500B1EF-B297-4DEF-8810-F0608C399C26}"/>
    <cellStyle name="Normal 5 2 2 4 2 5 2 2 3" xfId="25452" xr:uid="{D67716FF-31A5-4390-93AC-B15F8E3368E8}"/>
    <cellStyle name="Normal 5 2 2 4 2 5 2 3" xfId="12806" xr:uid="{B1B2D5AF-E092-45A9-A0E3-01B9550E855F}"/>
    <cellStyle name="Normal 5 2 2 4 2 5 2 4" xfId="21235" xr:uid="{7FE408B0-3D2C-446A-BCA4-EC0A01FF12CB}"/>
    <cellStyle name="Normal 5 2 2 4 2 5 3" xfId="6450" xr:uid="{00000000-0005-0000-0000-0000F6170000}"/>
    <cellStyle name="Normal 5 2 2 4 2 5 3 2" xfId="14879" xr:uid="{876C9E71-CE47-473F-9298-AA039130C6F1}"/>
    <cellStyle name="Normal 5 2 2 4 2 5 3 3" xfId="23307" xr:uid="{F939CA17-1AF3-4183-9CE3-5BB3AAFD2909}"/>
    <cellStyle name="Normal 5 2 2 4 2 5 4" xfId="10661" xr:uid="{E0CD99A1-C556-4168-9AD3-81DC78FFAED6}"/>
    <cellStyle name="Normal 5 2 2 4 2 5 5" xfId="19090" xr:uid="{A0E47950-6DCB-4D7E-B2B2-3A7A3B7ECE80}"/>
    <cellStyle name="Normal 5 2 2 4 2 6" xfId="2578" xr:uid="{00000000-0005-0000-0000-0000F7170000}"/>
    <cellStyle name="Normal 5 2 2 4 2 6 2" xfId="6863" xr:uid="{00000000-0005-0000-0000-0000F8170000}"/>
    <cellStyle name="Normal 5 2 2 4 2 6 2 2" xfId="15292" xr:uid="{167B9902-6B5C-4E9E-9108-84DF83E39BFC}"/>
    <cellStyle name="Normal 5 2 2 4 2 6 2 3" xfId="23720" xr:uid="{21A79D05-FCAE-4F8F-979F-5E63D3A82075}"/>
    <cellStyle name="Normal 5 2 2 4 2 6 3" xfId="11074" xr:uid="{279D50E2-5860-421A-AB41-4834198DBC6A}"/>
    <cellStyle name="Normal 5 2 2 4 2 6 4" xfId="19503" xr:uid="{1B44672A-A72B-4535-8CA6-3F79ECDE302F}"/>
    <cellStyle name="Normal 5 2 2 4 2 7" xfId="4798" xr:uid="{00000000-0005-0000-0000-0000F9170000}"/>
    <cellStyle name="Normal 5 2 2 4 2 7 2" xfId="13227" xr:uid="{E793013A-5D1E-491E-B121-1930F6F191F1}"/>
    <cellStyle name="Normal 5 2 2 4 2 7 3" xfId="21655" xr:uid="{A16613C6-CD1D-40D6-BE43-B48FBADA8200}"/>
    <cellStyle name="Normal 5 2 2 4 2 8" xfId="9009" xr:uid="{824102B5-4D72-40CA-8DC8-B4020D66E18F}"/>
    <cellStyle name="Normal 5 2 2 4 2 9" xfId="17438" xr:uid="{8C03CFE8-DF76-4B38-95C4-E4AED41FA9AA}"/>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84" xr:uid="{6A07EBA7-C140-4F44-915B-F8DD1693F713}"/>
    <cellStyle name="Normal 5 2 2 4 3 2 2 3" xfId="24212" xr:uid="{88A17E40-648A-4771-8CB6-9F688758FDA4}"/>
    <cellStyle name="Normal 5 2 2 4 3 2 3" xfId="11566" xr:uid="{31F36B5D-5C15-47AC-ADEB-DE3BBC626581}"/>
    <cellStyle name="Normal 5 2 2 4 3 2 4" xfId="19995" xr:uid="{C06EBD70-FD0A-4A62-8D9F-CF7C9DA37DDB}"/>
    <cellStyle name="Normal 5 2 2 4 3 3" xfId="5210" xr:uid="{00000000-0005-0000-0000-0000FD170000}"/>
    <cellStyle name="Normal 5 2 2 4 3 3 2" xfId="13639" xr:uid="{726D1161-A39C-41C8-8DFA-570B0D2453F3}"/>
    <cellStyle name="Normal 5 2 2 4 3 3 3" xfId="22067" xr:uid="{CDDA806D-303D-4FF7-A7CE-B48C2FA9001C}"/>
    <cellStyle name="Normal 5 2 2 4 3 4" xfId="9421" xr:uid="{01AC3720-A155-4CE0-9980-40751561EBDF}"/>
    <cellStyle name="Normal 5 2 2 4 3 5" xfId="17850" xr:uid="{4C74759C-7389-4901-AC37-4EDB671978B2}"/>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7" xr:uid="{2B834B8C-3D56-47EC-9196-18722099665A}"/>
    <cellStyle name="Normal 5 2 2 4 4 2 2 3" xfId="24625" xr:uid="{F610782D-28D2-4421-9823-8889FEBF5564}"/>
    <cellStyle name="Normal 5 2 2 4 4 2 3" xfId="11979" xr:uid="{58E3DBD7-C4E5-466E-9274-49DDB3E7E81D}"/>
    <cellStyle name="Normal 5 2 2 4 4 2 4" xfId="20408" xr:uid="{9A8C9755-477D-4D32-95B6-E21144A0421F}"/>
    <cellStyle name="Normal 5 2 2 4 4 3" xfId="5623" xr:uid="{00000000-0005-0000-0000-000001180000}"/>
    <cellStyle name="Normal 5 2 2 4 4 3 2" xfId="14052" xr:uid="{5E86AC32-D39C-468F-A665-00F3FCFDE74A}"/>
    <cellStyle name="Normal 5 2 2 4 4 3 3" xfId="22480" xr:uid="{94712FD4-8F29-4E8E-9EFD-948331B42C7B}"/>
    <cellStyle name="Normal 5 2 2 4 4 4" xfId="9834" xr:uid="{9B26E50D-6640-4ADC-9A6F-2078B42F2015}"/>
    <cellStyle name="Normal 5 2 2 4 4 5" xfId="18263" xr:uid="{2E2F55AA-7FA3-42F9-99E9-E6A7B854F384}"/>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10" xr:uid="{5B58A806-5F4A-468B-93D3-AA9F238B3449}"/>
    <cellStyle name="Normal 5 2 2 4 5 2 2 3" xfId="25038" xr:uid="{A96B9762-38B6-4487-AB85-0F8CB6961F17}"/>
    <cellStyle name="Normal 5 2 2 4 5 2 3" xfId="12392" xr:uid="{0DFEC047-EBBD-41B0-B714-59B46981CB6E}"/>
    <cellStyle name="Normal 5 2 2 4 5 2 4" xfId="20821" xr:uid="{3522B93E-06AC-4C0E-921E-EBB10E058AAC}"/>
    <cellStyle name="Normal 5 2 2 4 5 3" xfId="6036" xr:uid="{00000000-0005-0000-0000-000005180000}"/>
    <cellStyle name="Normal 5 2 2 4 5 3 2" xfId="14465" xr:uid="{B9B274C0-9593-4819-924A-134C73249DAD}"/>
    <cellStyle name="Normal 5 2 2 4 5 3 3" xfId="22893" xr:uid="{9C34705B-58F5-4709-A43F-D039B2646367}"/>
    <cellStyle name="Normal 5 2 2 4 5 4" xfId="10247" xr:uid="{D427D135-4747-4C5E-87C1-3106E3A987B3}"/>
    <cellStyle name="Normal 5 2 2 4 5 5" xfId="18676" xr:uid="{EC8295BA-6F06-4418-A0CF-3E4EBD968175}"/>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23" xr:uid="{FD66A533-CAF7-47BE-A32E-C4ACE3A8A63B}"/>
    <cellStyle name="Normal 5 2 2 4 6 2 2 3" xfId="25451" xr:uid="{A3A79A13-42A5-4D8B-8196-C4105EBCDA93}"/>
    <cellStyle name="Normal 5 2 2 4 6 2 3" xfId="12805" xr:uid="{139534C1-7C3B-4426-96BA-906931E08436}"/>
    <cellStyle name="Normal 5 2 2 4 6 2 4" xfId="21234" xr:uid="{E4E05244-567A-4AA0-BC73-159C8C6E0ABB}"/>
    <cellStyle name="Normal 5 2 2 4 6 3" xfId="6449" xr:uid="{00000000-0005-0000-0000-000009180000}"/>
    <cellStyle name="Normal 5 2 2 4 6 3 2" xfId="14878" xr:uid="{55A08058-99B9-45D0-91C2-8DFABA5B0854}"/>
    <cellStyle name="Normal 5 2 2 4 6 3 3" xfId="23306" xr:uid="{AFFA8188-62F1-433F-9B12-244FA0020581}"/>
    <cellStyle name="Normal 5 2 2 4 6 4" xfId="10660" xr:uid="{8E673263-D56A-417F-ABBF-6B8377784781}"/>
    <cellStyle name="Normal 5 2 2 4 6 5" xfId="19089" xr:uid="{AF93E920-A316-4ACD-BB1F-FC4BB47DFCE6}"/>
    <cellStyle name="Normal 5 2 2 4 7" xfId="2577" xr:uid="{00000000-0005-0000-0000-00000A180000}"/>
    <cellStyle name="Normal 5 2 2 4 7 2" xfId="6862" xr:uid="{00000000-0005-0000-0000-00000B180000}"/>
    <cellStyle name="Normal 5 2 2 4 7 2 2" xfId="15291" xr:uid="{8F5CCE04-C58C-4DEE-A459-3D79396B8E2E}"/>
    <cellStyle name="Normal 5 2 2 4 7 2 3" xfId="23719" xr:uid="{D94D9C0B-3084-42B1-A5BE-08572AFE5050}"/>
    <cellStyle name="Normal 5 2 2 4 7 3" xfId="11073" xr:uid="{7D955E7C-4E6C-4BF2-A7F9-B1964D116C86}"/>
    <cellStyle name="Normal 5 2 2 4 7 4" xfId="19502" xr:uid="{F7E07931-4911-4FC4-9433-45955C1E2696}"/>
    <cellStyle name="Normal 5 2 2 4 8" xfId="4797" xr:uid="{00000000-0005-0000-0000-00000C180000}"/>
    <cellStyle name="Normal 5 2 2 4 8 2" xfId="13226" xr:uid="{11EF6C85-5630-4D10-9E22-FFFF6717C62B}"/>
    <cellStyle name="Normal 5 2 2 4 8 3" xfId="21654" xr:uid="{DCEC5880-6165-4853-86BF-3017B54AAB36}"/>
    <cellStyle name="Normal 5 2 2 4 9" xfId="9008" xr:uid="{C98CEE0C-6165-45C1-9A8C-A4B495943D2B}"/>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86" xr:uid="{6E952CC1-A8FF-4A5E-B6AA-880BF968FF4D}"/>
    <cellStyle name="Normal 5 2 2 5 2 2 2 3" xfId="24214" xr:uid="{DFAC9BED-4AC4-4E09-ABEA-3C859F3709F4}"/>
    <cellStyle name="Normal 5 2 2 5 2 2 3" xfId="11568" xr:uid="{F241387A-F40F-4BA0-9ADF-83EFE42DBA5B}"/>
    <cellStyle name="Normal 5 2 2 5 2 2 4" xfId="19997" xr:uid="{40E6D933-04A1-47F7-B78F-BA37DD3105A2}"/>
    <cellStyle name="Normal 5 2 2 5 2 3" xfId="5212" xr:uid="{00000000-0005-0000-0000-000011180000}"/>
    <cellStyle name="Normal 5 2 2 5 2 3 2" xfId="13641" xr:uid="{E0B1D8C7-4B15-480D-9EF9-2D3EB5470FBD}"/>
    <cellStyle name="Normal 5 2 2 5 2 3 3" xfId="22069" xr:uid="{EB675C84-B361-4DBC-96F7-852502608591}"/>
    <cellStyle name="Normal 5 2 2 5 2 4" xfId="9423" xr:uid="{12BACBB7-A7BC-4648-88D4-7500C03FB8DB}"/>
    <cellStyle name="Normal 5 2 2 5 2 5" xfId="17852" xr:uid="{4A7A73FA-624E-4C6A-9246-D1A4920AEE27}"/>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9" xr:uid="{30678C4F-B2B3-4C4E-A57A-B89B6C6F296C}"/>
    <cellStyle name="Normal 5 2 2 5 3 2 2 3" xfId="24627" xr:uid="{EE71ECF9-C648-43AB-AF67-396449DB37DA}"/>
    <cellStyle name="Normal 5 2 2 5 3 2 3" xfId="11981" xr:uid="{49ABD81B-9C6D-419F-A65D-B4DAB9E2C183}"/>
    <cellStyle name="Normal 5 2 2 5 3 2 4" xfId="20410" xr:uid="{BB3A15EB-070F-4CFC-8357-1C3F3D7B3010}"/>
    <cellStyle name="Normal 5 2 2 5 3 3" xfId="5625" xr:uid="{00000000-0005-0000-0000-000015180000}"/>
    <cellStyle name="Normal 5 2 2 5 3 3 2" xfId="14054" xr:uid="{4CD29257-E2DF-4E3D-A706-1906A08F8626}"/>
    <cellStyle name="Normal 5 2 2 5 3 3 3" xfId="22482" xr:uid="{1E0ED4BD-2810-4414-AD6C-DF6A7A15A2DF}"/>
    <cellStyle name="Normal 5 2 2 5 3 4" xfId="9836" xr:uid="{4201A3D1-3B31-42F7-90CA-F97D1224C6F2}"/>
    <cellStyle name="Normal 5 2 2 5 3 5" xfId="18265" xr:uid="{92BBF90D-B98F-4F8E-A24E-D90B79C0E7D8}"/>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12" xr:uid="{00317036-97F9-45FA-ACC9-3908373C8F74}"/>
    <cellStyle name="Normal 5 2 2 5 4 2 2 3" xfId="25040" xr:uid="{5D6A6A54-BD04-40A3-84C0-00A6ECA8C4AB}"/>
    <cellStyle name="Normal 5 2 2 5 4 2 3" xfId="12394" xr:uid="{25BCF0B5-1817-4C2F-B711-E07327A87381}"/>
    <cellStyle name="Normal 5 2 2 5 4 2 4" xfId="20823" xr:uid="{913E3D5C-D7B7-4110-AB48-54D1E2C4A8A4}"/>
    <cellStyle name="Normal 5 2 2 5 4 3" xfId="6038" xr:uid="{00000000-0005-0000-0000-000019180000}"/>
    <cellStyle name="Normal 5 2 2 5 4 3 2" xfId="14467" xr:uid="{3F8FC381-5F1D-4572-AE93-79DF33FD541A}"/>
    <cellStyle name="Normal 5 2 2 5 4 3 3" xfId="22895" xr:uid="{9078E5D0-B774-40AB-9FB2-3652074B1E10}"/>
    <cellStyle name="Normal 5 2 2 5 4 4" xfId="10249" xr:uid="{B32A6311-479C-4281-BD5D-446DBD0F359B}"/>
    <cellStyle name="Normal 5 2 2 5 4 5" xfId="18678" xr:uid="{D9450E19-A393-44D8-B47F-CD930344F876}"/>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25" xr:uid="{4ABB229A-81C8-4A9D-BD05-B7EF3494CFA7}"/>
    <cellStyle name="Normal 5 2 2 5 5 2 2 3" xfId="25453" xr:uid="{4A61E047-1D18-4DDE-9448-BAE686F3E8BE}"/>
    <cellStyle name="Normal 5 2 2 5 5 2 3" xfId="12807" xr:uid="{7EDA9050-43E3-4E70-905E-8C1615AB8CA8}"/>
    <cellStyle name="Normal 5 2 2 5 5 2 4" xfId="21236" xr:uid="{74FB7562-C184-4060-9A38-CD7E63F76644}"/>
    <cellStyle name="Normal 5 2 2 5 5 3" xfId="6451" xr:uid="{00000000-0005-0000-0000-00001D180000}"/>
    <cellStyle name="Normal 5 2 2 5 5 3 2" xfId="14880" xr:uid="{1DF239E5-87FA-4395-AC63-56D2109239A8}"/>
    <cellStyle name="Normal 5 2 2 5 5 3 3" xfId="23308" xr:uid="{6A010F8A-94E7-48E8-981E-4C32C75CD748}"/>
    <cellStyle name="Normal 5 2 2 5 5 4" xfId="10662" xr:uid="{D49BF382-A586-4EDD-939D-D99B3D880378}"/>
    <cellStyle name="Normal 5 2 2 5 5 5" xfId="19091" xr:uid="{727D3B23-6A08-4D37-BE99-786CC22A1F15}"/>
    <cellStyle name="Normal 5 2 2 5 6" xfId="2579" xr:uid="{00000000-0005-0000-0000-00001E180000}"/>
    <cellStyle name="Normal 5 2 2 5 6 2" xfId="6864" xr:uid="{00000000-0005-0000-0000-00001F180000}"/>
    <cellStyle name="Normal 5 2 2 5 6 2 2" xfId="15293" xr:uid="{91FD3D11-8592-42A3-92B4-EB265C0246A4}"/>
    <cellStyle name="Normal 5 2 2 5 6 2 3" xfId="23721" xr:uid="{F71CF956-30BB-45A7-AC47-F27E10EC6A57}"/>
    <cellStyle name="Normal 5 2 2 5 6 3" xfId="11075" xr:uid="{BE71712E-440B-4DDC-9B82-A4AB94FFBB85}"/>
    <cellStyle name="Normal 5 2 2 5 6 4" xfId="19504" xr:uid="{BF369E36-353F-4467-AF6B-FE8F0C6AEA90}"/>
    <cellStyle name="Normal 5 2 2 5 7" xfId="4799" xr:uid="{00000000-0005-0000-0000-000020180000}"/>
    <cellStyle name="Normal 5 2 2 5 7 2" xfId="13228" xr:uid="{5F56BD77-5718-471A-9AA3-BA9BE97A25DF}"/>
    <cellStyle name="Normal 5 2 2 5 7 3" xfId="21656" xr:uid="{410F560C-6BED-4AC9-B031-8C9F2A164774}"/>
    <cellStyle name="Normal 5 2 2 5 8" xfId="9010" xr:uid="{3E10919E-B8D8-44E5-8595-7779353BEAA1}"/>
    <cellStyle name="Normal 5 2 2 5 9" xfId="17439" xr:uid="{E3874DFD-757F-4F46-9EE6-727D68338201}"/>
    <cellStyle name="Normal 5 2 2 6" xfId="883" xr:uid="{00000000-0005-0000-0000-000021180000}"/>
    <cellStyle name="Normal 5 2 2 6 2" xfId="3118" xr:uid="{00000000-0005-0000-0000-000022180000}"/>
    <cellStyle name="Normal 5 2 2 6 2 2" xfId="7342" xr:uid="{00000000-0005-0000-0000-000023180000}"/>
    <cellStyle name="Normal 5 2 2 6 2 2 2" xfId="15771" xr:uid="{6827363E-437E-48BC-A4A2-0A7DC3EB483F}"/>
    <cellStyle name="Normal 5 2 2 6 2 2 3" xfId="24199" xr:uid="{A7B3908E-E41C-4550-8C13-B2CD6AFA02CA}"/>
    <cellStyle name="Normal 5 2 2 6 2 3" xfId="11553" xr:uid="{5B0D3D1D-421B-491B-A3D1-D0FBBF0546FE}"/>
    <cellStyle name="Normal 5 2 2 6 2 4" xfId="19982" xr:uid="{B001D33F-8D42-4369-B27F-32FA87C39A76}"/>
    <cellStyle name="Normal 5 2 2 6 3" xfId="5197" xr:uid="{00000000-0005-0000-0000-000024180000}"/>
    <cellStyle name="Normal 5 2 2 6 3 2" xfId="13626" xr:uid="{34AC0609-6399-4323-9CEE-C4758865FD80}"/>
    <cellStyle name="Normal 5 2 2 6 3 3" xfId="22054" xr:uid="{8C55E838-B1DE-409F-8081-DCEAC5A52519}"/>
    <cellStyle name="Normal 5 2 2 6 4" xfId="9408" xr:uid="{50BD89F3-65C3-4C6D-AA0B-079042CD4C87}"/>
    <cellStyle name="Normal 5 2 2 6 5" xfId="17837" xr:uid="{0BA93F28-0D81-473D-A12B-14FCE8D0962A}"/>
    <cellStyle name="Normal 5 2 2 7" xfId="1301" xr:uid="{00000000-0005-0000-0000-000025180000}"/>
    <cellStyle name="Normal 5 2 2 7 2" xfId="3531" xr:uid="{00000000-0005-0000-0000-000026180000}"/>
    <cellStyle name="Normal 5 2 2 7 2 2" xfId="7755" xr:uid="{00000000-0005-0000-0000-000027180000}"/>
    <cellStyle name="Normal 5 2 2 7 2 2 2" xfId="16184" xr:uid="{9233B6E0-91A1-4B42-8831-54E0F427DB00}"/>
    <cellStyle name="Normal 5 2 2 7 2 2 3" xfId="24612" xr:uid="{D166432A-0704-4ED0-9473-EE554B72F680}"/>
    <cellStyle name="Normal 5 2 2 7 2 3" xfId="11966" xr:uid="{287A637A-4CC9-434A-8163-BCD8C531A3F6}"/>
    <cellStyle name="Normal 5 2 2 7 2 4" xfId="20395" xr:uid="{567B2E3F-DFCE-43A4-B3E0-99BA34BA0814}"/>
    <cellStyle name="Normal 5 2 2 7 3" xfId="5610" xr:uid="{00000000-0005-0000-0000-000028180000}"/>
    <cellStyle name="Normal 5 2 2 7 3 2" xfId="14039" xr:uid="{DBC80648-1549-479E-9B17-B97D03F9D79A}"/>
    <cellStyle name="Normal 5 2 2 7 3 3" xfId="22467" xr:uid="{B6770954-34FA-4C48-B387-937E1000B7AD}"/>
    <cellStyle name="Normal 5 2 2 7 4" xfId="9821" xr:uid="{9CAA7061-89E2-48A6-9ECA-8E8D93B92A8D}"/>
    <cellStyle name="Normal 5 2 2 7 5" xfId="18250" xr:uid="{0B0DC0F6-C2FC-497C-A9B3-DF490D391266}"/>
    <cellStyle name="Normal 5 2 2 8" xfId="1714" xr:uid="{00000000-0005-0000-0000-000029180000}"/>
    <cellStyle name="Normal 5 2 2 8 2" xfId="3944" xr:uid="{00000000-0005-0000-0000-00002A180000}"/>
    <cellStyle name="Normal 5 2 2 8 2 2" xfId="8168" xr:uid="{00000000-0005-0000-0000-00002B180000}"/>
    <cellStyle name="Normal 5 2 2 8 2 2 2" xfId="16597" xr:uid="{F4514B0D-DB8E-4D7F-81B4-C5D8996F812B}"/>
    <cellStyle name="Normal 5 2 2 8 2 2 3" xfId="25025" xr:uid="{48BD9DFF-7B16-47BA-AE1A-3368CFEDCDB2}"/>
    <cellStyle name="Normal 5 2 2 8 2 3" xfId="12379" xr:uid="{00ADE756-BCF2-4B11-BAB7-64140EC9628B}"/>
    <cellStyle name="Normal 5 2 2 8 2 4" xfId="20808" xr:uid="{90495893-38FB-44E9-AFFF-2408941969F1}"/>
    <cellStyle name="Normal 5 2 2 8 3" xfId="6023" xr:uid="{00000000-0005-0000-0000-00002C180000}"/>
    <cellStyle name="Normal 5 2 2 8 3 2" xfId="14452" xr:uid="{F96D4961-470A-4170-849F-A8F8B6E6A988}"/>
    <cellStyle name="Normal 5 2 2 8 3 3" xfId="22880" xr:uid="{C23CF15E-2A4F-4328-A8F8-DCF2FE62B7FD}"/>
    <cellStyle name="Normal 5 2 2 8 4" xfId="10234" xr:uid="{7EE64294-27C3-482D-9BAC-A9BF5F86BCE9}"/>
    <cellStyle name="Normal 5 2 2 8 5" xfId="18663" xr:uid="{EA7E1039-1767-446E-A61C-EEC7E0003897}"/>
    <cellStyle name="Normal 5 2 2 9" xfId="2128" xr:uid="{00000000-0005-0000-0000-00002D180000}"/>
    <cellStyle name="Normal 5 2 2 9 2" xfId="4357" xr:uid="{00000000-0005-0000-0000-00002E180000}"/>
    <cellStyle name="Normal 5 2 2 9 2 2" xfId="8581" xr:uid="{00000000-0005-0000-0000-00002F180000}"/>
    <cellStyle name="Normal 5 2 2 9 2 2 2" xfId="17010" xr:uid="{E6BF6C0E-DDB4-4764-A698-86531429B7F2}"/>
    <cellStyle name="Normal 5 2 2 9 2 2 3" xfId="25438" xr:uid="{3566C475-81FB-4386-8BA8-955CE7253C13}"/>
    <cellStyle name="Normal 5 2 2 9 2 3" xfId="12792" xr:uid="{EBB9E554-0D52-464D-802A-A38B3DBA886E}"/>
    <cellStyle name="Normal 5 2 2 9 2 4" xfId="21221" xr:uid="{2F2D02B2-143B-4F3E-9C24-D253299E0FC3}"/>
    <cellStyle name="Normal 5 2 2 9 3" xfId="6436" xr:uid="{00000000-0005-0000-0000-000030180000}"/>
    <cellStyle name="Normal 5 2 2 9 3 2" xfId="14865" xr:uid="{6A30B09E-6674-46CF-8E35-5B43FF6D3F4E}"/>
    <cellStyle name="Normal 5 2 2 9 3 3" xfId="23293" xr:uid="{4B52A55D-C444-4FAD-B2A0-03BB1449BDDA}"/>
    <cellStyle name="Normal 5 2 2 9 4" xfId="10647" xr:uid="{915854C7-8842-4612-9B4B-C6AD20338D7C}"/>
    <cellStyle name="Normal 5 2 2 9 5" xfId="19076" xr:uid="{EAB53B8F-84AE-4C6E-ADEF-37DBCF31A697}"/>
    <cellStyle name="Normal 5 2 3" xfId="424" xr:uid="{00000000-0005-0000-0000-000031180000}"/>
    <cellStyle name="Normal 5 2 3 10" xfId="4800" xr:uid="{00000000-0005-0000-0000-000032180000}"/>
    <cellStyle name="Normal 5 2 3 10 2" xfId="13229" xr:uid="{6A5FFFB2-2075-4744-B86E-60463F285091}"/>
    <cellStyle name="Normal 5 2 3 10 3" xfId="21657" xr:uid="{3F855268-B04F-474E-876B-4A3CC05D213B}"/>
    <cellStyle name="Normal 5 2 3 11" xfId="9011" xr:uid="{681DCE5B-C8A8-44ED-B951-463690D14EB1}"/>
    <cellStyle name="Normal 5 2 3 12" xfId="17440" xr:uid="{D0B354B9-0013-4AC9-9B6E-2FDBC84B3BFB}"/>
    <cellStyle name="Normal 5 2 3 2" xfId="425" xr:uid="{00000000-0005-0000-0000-000033180000}"/>
    <cellStyle name="Normal 5 2 3 2 10" xfId="9012" xr:uid="{85691869-BA80-4E74-8D76-BC88F60F3ADF}"/>
    <cellStyle name="Normal 5 2 3 2 11" xfId="17441" xr:uid="{F594DEA2-7270-4799-A0DD-BF3AB1929D91}"/>
    <cellStyle name="Normal 5 2 3 2 2" xfId="426" xr:uid="{00000000-0005-0000-0000-000034180000}"/>
    <cellStyle name="Normal 5 2 3 2 2 10" xfId="17442" xr:uid="{6D44D6AC-357D-4C0F-A20B-6383B2694DA9}"/>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90" xr:uid="{BE021A7D-58CD-4953-973D-F1615B6FAB32}"/>
    <cellStyle name="Normal 5 2 3 2 2 2 2 2 2 3" xfId="24218" xr:uid="{2E8F92EF-B9F6-4090-981E-517CDE4F1894}"/>
    <cellStyle name="Normal 5 2 3 2 2 2 2 2 3" xfId="11572" xr:uid="{F6FD06E4-8E79-443F-9D3C-AED1FDE674AF}"/>
    <cellStyle name="Normal 5 2 3 2 2 2 2 2 4" xfId="20001" xr:uid="{FCB0035B-2D35-44DE-A139-5D4EF82B1CA8}"/>
    <cellStyle name="Normal 5 2 3 2 2 2 2 3" xfId="5216" xr:uid="{00000000-0005-0000-0000-000039180000}"/>
    <cellStyle name="Normal 5 2 3 2 2 2 2 3 2" xfId="13645" xr:uid="{30F60459-9CDA-4063-AFB3-7C2E7B6663CE}"/>
    <cellStyle name="Normal 5 2 3 2 2 2 2 3 3" xfId="22073" xr:uid="{DC6B66B3-3334-47C7-AB97-059569A01A5A}"/>
    <cellStyle name="Normal 5 2 3 2 2 2 2 4" xfId="9427" xr:uid="{F731B32E-E44C-489D-B278-65753BDB862C}"/>
    <cellStyle name="Normal 5 2 3 2 2 2 2 5" xfId="17856" xr:uid="{23D41824-3CDE-4B6A-97A4-2471B9BADF0D}"/>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203" xr:uid="{4B8594E6-67A2-4AE1-9DE1-CA14FE316FB8}"/>
    <cellStyle name="Normal 5 2 3 2 2 2 3 2 2 3" xfId="24631" xr:uid="{56511E22-37BF-482F-8E68-914D3C639733}"/>
    <cellStyle name="Normal 5 2 3 2 2 2 3 2 3" xfId="11985" xr:uid="{1DB3018D-BB4C-4C40-AA3A-FF964DFD00F7}"/>
    <cellStyle name="Normal 5 2 3 2 2 2 3 2 4" xfId="20414" xr:uid="{6E37111C-CE0F-46A4-A9FE-E46ACE1E39D0}"/>
    <cellStyle name="Normal 5 2 3 2 2 2 3 3" xfId="5629" xr:uid="{00000000-0005-0000-0000-00003D180000}"/>
    <cellStyle name="Normal 5 2 3 2 2 2 3 3 2" xfId="14058" xr:uid="{7DCCD6CC-559F-4213-BD39-54336BE32B3C}"/>
    <cellStyle name="Normal 5 2 3 2 2 2 3 3 3" xfId="22486" xr:uid="{10F72C18-1256-432E-8E9F-482C3B5ECEDF}"/>
    <cellStyle name="Normal 5 2 3 2 2 2 3 4" xfId="9840" xr:uid="{73DFB665-0963-4F03-A047-B0F935764568}"/>
    <cellStyle name="Normal 5 2 3 2 2 2 3 5" xfId="18269" xr:uid="{C26E6FC8-A884-4D21-A919-0EA558B7A7F2}"/>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16" xr:uid="{58D5F2CD-85E0-4F67-9640-85C0E6665691}"/>
    <cellStyle name="Normal 5 2 3 2 2 2 4 2 2 3" xfId="25044" xr:uid="{DDF650DF-5EAA-42D9-8221-2C55A113CECA}"/>
    <cellStyle name="Normal 5 2 3 2 2 2 4 2 3" xfId="12398" xr:uid="{EED10237-E7B2-41C4-918B-1D698900E69B}"/>
    <cellStyle name="Normal 5 2 3 2 2 2 4 2 4" xfId="20827" xr:uid="{AF2958A5-A9F4-42F4-9C6A-E6216D15F69E}"/>
    <cellStyle name="Normal 5 2 3 2 2 2 4 3" xfId="6042" xr:uid="{00000000-0005-0000-0000-000041180000}"/>
    <cellStyle name="Normal 5 2 3 2 2 2 4 3 2" xfId="14471" xr:uid="{2F1B0112-DB8B-4AB2-8EF7-4F859E1D8FE7}"/>
    <cellStyle name="Normal 5 2 3 2 2 2 4 3 3" xfId="22899" xr:uid="{1563B8BB-3DC3-430D-ADA3-FD6A3691C40C}"/>
    <cellStyle name="Normal 5 2 3 2 2 2 4 4" xfId="10253" xr:uid="{6C45A62C-6ED8-463A-AFD6-CDDFFA765C88}"/>
    <cellStyle name="Normal 5 2 3 2 2 2 4 5" xfId="18682" xr:uid="{46782F47-3ABE-4969-A7E4-E2B3913F6D8F}"/>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9" xr:uid="{B1A43285-DBDE-4928-903A-21D6A324EB50}"/>
    <cellStyle name="Normal 5 2 3 2 2 2 5 2 2 3" xfId="25457" xr:uid="{14F9E5E1-A3F8-4C7C-BABA-F2412845A345}"/>
    <cellStyle name="Normal 5 2 3 2 2 2 5 2 3" xfId="12811" xr:uid="{DA536662-41C2-487A-BB54-12895AF140AC}"/>
    <cellStyle name="Normal 5 2 3 2 2 2 5 2 4" xfId="21240" xr:uid="{4AF034D5-15A3-4043-B613-D87BA5E37CF6}"/>
    <cellStyle name="Normal 5 2 3 2 2 2 5 3" xfId="6455" xr:uid="{00000000-0005-0000-0000-000045180000}"/>
    <cellStyle name="Normal 5 2 3 2 2 2 5 3 2" xfId="14884" xr:uid="{9E9DB81E-4EBB-4EAA-8D02-05D5397EB09F}"/>
    <cellStyle name="Normal 5 2 3 2 2 2 5 3 3" xfId="23312" xr:uid="{04CD9D35-3F52-427B-A706-961146979E21}"/>
    <cellStyle name="Normal 5 2 3 2 2 2 5 4" xfId="10666" xr:uid="{7C868F80-4A66-40D8-96D4-C3FF2736651E}"/>
    <cellStyle name="Normal 5 2 3 2 2 2 5 5" xfId="19095" xr:uid="{D69AF959-48CE-4AD1-8012-3BA496BA5290}"/>
    <cellStyle name="Normal 5 2 3 2 2 2 6" xfId="2583" xr:uid="{00000000-0005-0000-0000-000046180000}"/>
    <cellStyle name="Normal 5 2 3 2 2 2 6 2" xfId="6868" xr:uid="{00000000-0005-0000-0000-000047180000}"/>
    <cellStyle name="Normal 5 2 3 2 2 2 6 2 2" xfId="15297" xr:uid="{87BA496E-D09D-436E-BBB7-83E86145E7E2}"/>
    <cellStyle name="Normal 5 2 3 2 2 2 6 2 3" xfId="23725" xr:uid="{F9AB3AFB-89EF-4C4E-A7DF-AE2E9560DDAE}"/>
    <cellStyle name="Normal 5 2 3 2 2 2 6 3" xfId="11079" xr:uid="{78B983D4-C37A-402A-B490-412EF0F66745}"/>
    <cellStyle name="Normal 5 2 3 2 2 2 6 4" xfId="19508" xr:uid="{8E1AC9D0-9435-4E04-8C42-4794793F8CCC}"/>
    <cellStyle name="Normal 5 2 3 2 2 2 7" xfId="4803" xr:uid="{00000000-0005-0000-0000-000048180000}"/>
    <cellStyle name="Normal 5 2 3 2 2 2 7 2" xfId="13232" xr:uid="{68EB6E80-364A-4102-9396-BDBFDE6B6224}"/>
    <cellStyle name="Normal 5 2 3 2 2 2 7 3" xfId="21660" xr:uid="{5DDBBF57-A808-4743-979C-9302C168F624}"/>
    <cellStyle name="Normal 5 2 3 2 2 2 8" xfId="9014" xr:uid="{C2981995-5571-410E-B98F-E0170F6F6A7E}"/>
    <cellStyle name="Normal 5 2 3 2 2 2 9" xfId="17443" xr:uid="{EE4BEDF8-D028-4ACF-8E6F-E1BE199E8D1F}"/>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9" xr:uid="{500F2784-B0A1-4D0C-A10F-624FEEE65389}"/>
    <cellStyle name="Normal 5 2 3 2 2 3 2 2 3" xfId="24217" xr:uid="{94A005DB-C1EB-498A-9D60-8BC01B13B973}"/>
    <cellStyle name="Normal 5 2 3 2 2 3 2 3" xfId="11571" xr:uid="{D8E9E294-172F-4A73-B08C-EF09DCFF8758}"/>
    <cellStyle name="Normal 5 2 3 2 2 3 2 4" xfId="20000" xr:uid="{4FD7192E-1DB9-4DAC-A166-10CA9C7EE426}"/>
    <cellStyle name="Normal 5 2 3 2 2 3 3" xfId="5215" xr:uid="{00000000-0005-0000-0000-00004C180000}"/>
    <cellStyle name="Normal 5 2 3 2 2 3 3 2" xfId="13644" xr:uid="{448AE864-F525-4573-9CE4-3D55E4149BE7}"/>
    <cellStyle name="Normal 5 2 3 2 2 3 3 3" xfId="22072" xr:uid="{E3634AF0-B5BD-431F-9AA5-87B2D4F0585B}"/>
    <cellStyle name="Normal 5 2 3 2 2 3 4" xfId="9426" xr:uid="{AFE51916-AE98-4C6A-A61D-130BDA45596B}"/>
    <cellStyle name="Normal 5 2 3 2 2 3 5" xfId="17855" xr:uid="{8CBB9AF0-8E02-472C-AB04-C03417FB98BC}"/>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202" xr:uid="{437DE277-C0C0-4CB4-84A6-1027AE08342C}"/>
    <cellStyle name="Normal 5 2 3 2 2 4 2 2 3" xfId="24630" xr:uid="{974B7ECD-0C34-4070-B7B4-0B5F51DC327E}"/>
    <cellStyle name="Normal 5 2 3 2 2 4 2 3" xfId="11984" xr:uid="{D2E7F27A-E55C-419C-B367-330172DA507C}"/>
    <cellStyle name="Normal 5 2 3 2 2 4 2 4" xfId="20413" xr:uid="{2F83DC04-59D4-4F71-8D11-CF12E887C993}"/>
    <cellStyle name="Normal 5 2 3 2 2 4 3" xfId="5628" xr:uid="{00000000-0005-0000-0000-000050180000}"/>
    <cellStyle name="Normal 5 2 3 2 2 4 3 2" xfId="14057" xr:uid="{2BB81316-9B82-4A35-912B-876CD02A22EA}"/>
    <cellStyle name="Normal 5 2 3 2 2 4 3 3" xfId="22485" xr:uid="{B96ED836-D1C3-4734-A6AF-C855F76F1573}"/>
    <cellStyle name="Normal 5 2 3 2 2 4 4" xfId="9839" xr:uid="{F4C11B61-3C27-4457-A571-DFC8BC5A5EF7}"/>
    <cellStyle name="Normal 5 2 3 2 2 4 5" xfId="18268" xr:uid="{6A2EB4CB-682A-4510-BF06-B8431775E25B}"/>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15" xr:uid="{86111C91-6A98-4D0D-95D1-A0FCF713BFED}"/>
    <cellStyle name="Normal 5 2 3 2 2 5 2 2 3" xfId="25043" xr:uid="{896E4E9C-CD64-4A2B-B109-BE2B6B0F95A9}"/>
    <cellStyle name="Normal 5 2 3 2 2 5 2 3" xfId="12397" xr:uid="{0E848315-CAA5-4C41-881F-3C4A4F382DB5}"/>
    <cellStyle name="Normal 5 2 3 2 2 5 2 4" xfId="20826" xr:uid="{35C9E7FA-CAF7-44A5-A4F5-1D409E4CECC7}"/>
    <cellStyle name="Normal 5 2 3 2 2 5 3" xfId="6041" xr:uid="{00000000-0005-0000-0000-000054180000}"/>
    <cellStyle name="Normal 5 2 3 2 2 5 3 2" xfId="14470" xr:uid="{BED4DBE7-343C-4A6C-ADB0-CB7D0BAA1401}"/>
    <cellStyle name="Normal 5 2 3 2 2 5 3 3" xfId="22898" xr:uid="{00BF7C77-CE0A-47FA-B7BD-9E14C2217467}"/>
    <cellStyle name="Normal 5 2 3 2 2 5 4" xfId="10252" xr:uid="{561877C4-4C62-4BA1-BEE0-E6125FE8C7EC}"/>
    <cellStyle name="Normal 5 2 3 2 2 5 5" xfId="18681" xr:uid="{46305D9A-6B73-49BE-B0DE-C2E4529F5F3B}"/>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8" xr:uid="{F95F82F9-7AE5-4E1C-8F4F-2454B6286005}"/>
    <cellStyle name="Normal 5 2 3 2 2 6 2 2 3" xfId="25456" xr:uid="{8EAB3C60-E78D-4B07-BB63-8B8E41A073C5}"/>
    <cellStyle name="Normal 5 2 3 2 2 6 2 3" xfId="12810" xr:uid="{D8B5EE87-7E33-4808-97A8-9242ADE22669}"/>
    <cellStyle name="Normal 5 2 3 2 2 6 2 4" xfId="21239" xr:uid="{A632A23E-55E4-4B51-8878-5B4E04B0B638}"/>
    <cellStyle name="Normal 5 2 3 2 2 6 3" xfId="6454" xr:uid="{00000000-0005-0000-0000-000058180000}"/>
    <cellStyle name="Normal 5 2 3 2 2 6 3 2" xfId="14883" xr:uid="{55A3F5AF-470A-4192-81AF-B395F67A2F64}"/>
    <cellStyle name="Normal 5 2 3 2 2 6 3 3" xfId="23311" xr:uid="{8233C3CA-B635-4DCE-934A-8E458F103280}"/>
    <cellStyle name="Normal 5 2 3 2 2 6 4" xfId="10665" xr:uid="{054F1610-802D-43CC-8961-661DF05F23BE}"/>
    <cellStyle name="Normal 5 2 3 2 2 6 5" xfId="19094" xr:uid="{A9950A43-30DC-4BBD-AA93-4B499ECC55F1}"/>
    <cellStyle name="Normal 5 2 3 2 2 7" xfId="2582" xr:uid="{00000000-0005-0000-0000-000059180000}"/>
    <cellStyle name="Normal 5 2 3 2 2 7 2" xfId="6867" xr:uid="{00000000-0005-0000-0000-00005A180000}"/>
    <cellStyle name="Normal 5 2 3 2 2 7 2 2" xfId="15296" xr:uid="{5AD41DA7-F76A-45E6-9245-1A7AA1D68331}"/>
    <cellStyle name="Normal 5 2 3 2 2 7 2 3" xfId="23724" xr:uid="{37914367-D1A6-4607-9187-B4B82D5A17F4}"/>
    <cellStyle name="Normal 5 2 3 2 2 7 3" xfId="11078" xr:uid="{ABA9CD5B-76FC-4398-9C88-3C24AA925A1A}"/>
    <cellStyle name="Normal 5 2 3 2 2 7 4" xfId="19507" xr:uid="{89250312-A48B-4ADF-9A75-6B21F95BB4D3}"/>
    <cellStyle name="Normal 5 2 3 2 2 8" xfId="4802" xr:uid="{00000000-0005-0000-0000-00005B180000}"/>
    <cellStyle name="Normal 5 2 3 2 2 8 2" xfId="13231" xr:uid="{C3AD07BD-233E-494A-AD16-A866AA4CBF3A}"/>
    <cellStyle name="Normal 5 2 3 2 2 8 3" xfId="21659" xr:uid="{61C15AD6-290D-4673-BF31-55558798580F}"/>
    <cellStyle name="Normal 5 2 3 2 2 9" xfId="9013" xr:uid="{9189A651-739F-4DA0-A413-118DA4353D9F}"/>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91" xr:uid="{052919C7-4D4A-414A-8968-FA31FF6160FF}"/>
    <cellStyle name="Normal 5 2 3 2 3 2 2 2 3" xfId="24219" xr:uid="{29B098DE-E305-4DA5-B305-152552533135}"/>
    <cellStyle name="Normal 5 2 3 2 3 2 2 3" xfId="11573" xr:uid="{A5F0FF77-F58E-4E4B-AAFB-186806AF69AE}"/>
    <cellStyle name="Normal 5 2 3 2 3 2 2 4" xfId="20002" xr:uid="{73BE0266-5DCD-4E06-84D8-DB5230DCA107}"/>
    <cellStyle name="Normal 5 2 3 2 3 2 3" xfId="5217" xr:uid="{00000000-0005-0000-0000-000060180000}"/>
    <cellStyle name="Normal 5 2 3 2 3 2 3 2" xfId="13646" xr:uid="{CC9E4999-4B25-475B-A5C5-56331C99A0E7}"/>
    <cellStyle name="Normal 5 2 3 2 3 2 3 3" xfId="22074" xr:uid="{56AC1EFC-18C4-4307-A9CE-60BA71907131}"/>
    <cellStyle name="Normal 5 2 3 2 3 2 4" xfId="9428" xr:uid="{9FE88BDA-CD39-484E-853B-DA2330A317AC}"/>
    <cellStyle name="Normal 5 2 3 2 3 2 5" xfId="17857" xr:uid="{76983C78-072B-493D-B1AB-E6E55D5021E9}"/>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204" xr:uid="{2F5540EE-EB91-446A-8CDC-A357A605D354}"/>
    <cellStyle name="Normal 5 2 3 2 3 3 2 2 3" xfId="24632" xr:uid="{5A949C3D-670D-485B-8C0B-0269722FE66E}"/>
    <cellStyle name="Normal 5 2 3 2 3 3 2 3" xfId="11986" xr:uid="{4B6DAC8A-6642-4D81-A1F7-A6D5415A341A}"/>
    <cellStyle name="Normal 5 2 3 2 3 3 2 4" xfId="20415" xr:uid="{AA2CEA44-1A5B-4C62-B520-388FB74C6196}"/>
    <cellStyle name="Normal 5 2 3 2 3 3 3" xfId="5630" xr:uid="{00000000-0005-0000-0000-000064180000}"/>
    <cellStyle name="Normal 5 2 3 2 3 3 3 2" xfId="14059" xr:uid="{D9776114-9163-45C5-A515-665A97E2616B}"/>
    <cellStyle name="Normal 5 2 3 2 3 3 3 3" xfId="22487" xr:uid="{57667875-B739-4BBB-A696-886111F4B57A}"/>
    <cellStyle name="Normal 5 2 3 2 3 3 4" xfId="9841" xr:uid="{4213C566-6E44-48BF-94EA-63541EC20CB3}"/>
    <cellStyle name="Normal 5 2 3 2 3 3 5" xfId="18270" xr:uid="{9E43B540-04B8-4090-B3B6-C89684332E16}"/>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7" xr:uid="{26B7B8FD-6E1E-4F52-BCDA-15721668E155}"/>
    <cellStyle name="Normal 5 2 3 2 3 4 2 2 3" xfId="25045" xr:uid="{30AE2EA1-8492-42F8-89AA-4DDB70291B83}"/>
    <cellStyle name="Normal 5 2 3 2 3 4 2 3" xfId="12399" xr:uid="{64E4E832-D6F7-45FE-B8EA-D383E2045EA6}"/>
    <cellStyle name="Normal 5 2 3 2 3 4 2 4" xfId="20828" xr:uid="{21793D32-CD94-4933-BD65-C991DB64DE23}"/>
    <cellStyle name="Normal 5 2 3 2 3 4 3" xfId="6043" xr:uid="{00000000-0005-0000-0000-000068180000}"/>
    <cellStyle name="Normal 5 2 3 2 3 4 3 2" xfId="14472" xr:uid="{ED3432A8-8A7C-465D-9126-2895ABA856A8}"/>
    <cellStyle name="Normal 5 2 3 2 3 4 3 3" xfId="22900" xr:uid="{E7792C59-211D-4BCC-AABF-8C2174D8C623}"/>
    <cellStyle name="Normal 5 2 3 2 3 4 4" xfId="10254" xr:uid="{327C87E7-2553-4024-BE5F-0B2DC84621F8}"/>
    <cellStyle name="Normal 5 2 3 2 3 4 5" xfId="18683" xr:uid="{FA971F05-A9EE-4422-B312-660E1E1D3961}"/>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30" xr:uid="{59D3E91E-98FC-4185-9F9D-D1230702EDB2}"/>
    <cellStyle name="Normal 5 2 3 2 3 5 2 2 3" xfId="25458" xr:uid="{E9B2A17B-C0D6-4F91-8F9D-543A0FD5B273}"/>
    <cellStyle name="Normal 5 2 3 2 3 5 2 3" xfId="12812" xr:uid="{B07C0465-950A-44ED-AFB7-778AC7BCD400}"/>
    <cellStyle name="Normal 5 2 3 2 3 5 2 4" xfId="21241" xr:uid="{B76D989F-F1CE-4A52-AADB-02E39ECD3F57}"/>
    <cellStyle name="Normal 5 2 3 2 3 5 3" xfId="6456" xr:uid="{00000000-0005-0000-0000-00006C180000}"/>
    <cellStyle name="Normal 5 2 3 2 3 5 3 2" xfId="14885" xr:uid="{6FBA9740-7488-406A-BEF1-5E9E45B733B0}"/>
    <cellStyle name="Normal 5 2 3 2 3 5 3 3" xfId="23313" xr:uid="{40C37063-D435-40A1-806C-65BF6BA93BD8}"/>
    <cellStyle name="Normal 5 2 3 2 3 5 4" xfId="10667" xr:uid="{3AD1F8A5-D716-47D0-A7E8-BB5FEF6E705E}"/>
    <cellStyle name="Normal 5 2 3 2 3 5 5" xfId="19096" xr:uid="{68D4A371-8697-4759-8C73-8E81DB981FA6}"/>
    <cellStyle name="Normal 5 2 3 2 3 6" xfId="2584" xr:uid="{00000000-0005-0000-0000-00006D180000}"/>
    <cellStyle name="Normal 5 2 3 2 3 6 2" xfId="6869" xr:uid="{00000000-0005-0000-0000-00006E180000}"/>
    <cellStyle name="Normal 5 2 3 2 3 6 2 2" xfId="15298" xr:uid="{A701DA8C-4C94-41A6-A62D-34947855C6E4}"/>
    <cellStyle name="Normal 5 2 3 2 3 6 2 3" xfId="23726" xr:uid="{5F0050B3-3817-4EA0-9B53-CB4D3B060D7E}"/>
    <cellStyle name="Normal 5 2 3 2 3 6 3" xfId="11080" xr:uid="{ABF85B92-594D-4AEB-875D-BF4A7CABD7D6}"/>
    <cellStyle name="Normal 5 2 3 2 3 6 4" xfId="19509" xr:uid="{6764E165-48BE-48EA-96F2-0AE40D09F4AB}"/>
    <cellStyle name="Normal 5 2 3 2 3 7" xfId="4804" xr:uid="{00000000-0005-0000-0000-00006F180000}"/>
    <cellStyle name="Normal 5 2 3 2 3 7 2" xfId="13233" xr:uid="{E6660DC9-8ED7-41DA-B308-14758DF79F48}"/>
    <cellStyle name="Normal 5 2 3 2 3 7 3" xfId="21661" xr:uid="{B34AF0A8-4176-4472-947B-E0D79AC1CC55}"/>
    <cellStyle name="Normal 5 2 3 2 3 8" xfId="9015" xr:uid="{C99CCEDC-19AD-47C6-BB1B-04BA0CD5424F}"/>
    <cellStyle name="Normal 5 2 3 2 3 9" xfId="17444" xr:uid="{4C36D159-3894-471D-BE7C-372AC3C6E720}"/>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8" xr:uid="{C641C1C9-981C-4CD9-AD0C-71AF1ECEF3D3}"/>
    <cellStyle name="Normal 5 2 3 2 4 2 2 3" xfId="24216" xr:uid="{CDF0425F-B967-4FAB-A8FD-F4407901929D}"/>
    <cellStyle name="Normal 5 2 3 2 4 2 3" xfId="11570" xr:uid="{BDF659AA-0EFC-4DF7-A26B-25E672DB11D4}"/>
    <cellStyle name="Normal 5 2 3 2 4 2 4" xfId="19999" xr:uid="{CD721F59-C078-49E3-9479-920863C2EFC3}"/>
    <cellStyle name="Normal 5 2 3 2 4 3" xfId="5214" xr:uid="{00000000-0005-0000-0000-000073180000}"/>
    <cellStyle name="Normal 5 2 3 2 4 3 2" xfId="13643" xr:uid="{39DCA17E-208D-4F48-B4B4-223954515F38}"/>
    <cellStyle name="Normal 5 2 3 2 4 3 3" xfId="22071" xr:uid="{7CEBCD69-5E62-4AE5-AA6C-31CE409B621A}"/>
    <cellStyle name="Normal 5 2 3 2 4 4" xfId="9425" xr:uid="{24A119D7-FF78-4532-B29C-28A7EE4B0BE2}"/>
    <cellStyle name="Normal 5 2 3 2 4 5" xfId="17854" xr:uid="{AEC5A0DE-130C-4D04-80F6-8EE978419F62}"/>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201" xr:uid="{469928AA-0E12-431F-BF2B-3E102E8CCB95}"/>
    <cellStyle name="Normal 5 2 3 2 5 2 2 3" xfId="24629" xr:uid="{E9036289-58D6-4A5B-90B4-8C574E96BDCE}"/>
    <cellStyle name="Normal 5 2 3 2 5 2 3" xfId="11983" xr:uid="{026E8702-0E9E-4552-BA20-1EFFA373F6C5}"/>
    <cellStyle name="Normal 5 2 3 2 5 2 4" xfId="20412" xr:uid="{7E312C10-1756-465B-8A5D-DF707F41A012}"/>
    <cellStyle name="Normal 5 2 3 2 5 3" xfId="5627" xr:uid="{00000000-0005-0000-0000-000077180000}"/>
    <cellStyle name="Normal 5 2 3 2 5 3 2" xfId="14056" xr:uid="{94C7FDA1-6759-4E68-A8B1-34194FABBA43}"/>
    <cellStyle name="Normal 5 2 3 2 5 3 3" xfId="22484" xr:uid="{B3BAED47-316C-4FB4-AFE7-C60004AD5380}"/>
    <cellStyle name="Normal 5 2 3 2 5 4" xfId="9838" xr:uid="{8A0BA754-EBD4-40E2-838C-A44518789363}"/>
    <cellStyle name="Normal 5 2 3 2 5 5" xfId="18267" xr:uid="{AE628DBC-5789-45B3-980E-CE16BD67623F}"/>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14" xr:uid="{B70F0167-E394-4F58-B591-15DC4FE856A2}"/>
    <cellStyle name="Normal 5 2 3 2 6 2 2 3" xfId="25042" xr:uid="{A07F2CB1-117B-449E-BBCA-FC7009629E6A}"/>
    <cellStyle name="Normal 5 2 3 2 6 2 3" xfId="12396" xr:uid="{69A0DD64-7250-402C-9D17-F53D1016D915}"/>
    <cellStyle name="Normal 5 2 3 2 6 2 4" xfId="20825" xr:uid="{9FB40F8A-C339-4E61-87EA-510FE3864CE2}"/>
    <cellStyle name="Normal 5 2 3 2 6 3" xfId="6040" xr:uid="{00000000-0005-0000-0000-00007B180000}"/>
    <cellStyle name="Normal 5 2 3 2 6 3 2" xfId="14469" xr:uid="{A7B74782-A8FB-47E0-8A3D-F676709E3F9F}"/>
    <cellStyle name="Normal 5 2 3 2 6 3 3" xfId="22897" xr:uid="{EEE5CDBD-FC11-4089-82FE-C44553F14087}"/>
    <cellStyle name="Normal 5 2 3 2 6 4" xfId="10251" xr:uid="{9739BC0A-9320-4E9C-B6FE-02F300701D11}"/>
    <cellStyle name="Normal 5 2 3 2 6 5" xfId="18680" xr:uid="{212F8C99-6A66-4EBD-BB17-A2BAF6BBB430}"/>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7" xr:uid="{BA11512B-CB03-4F2C-90AE-FFB4CB31FDCC}"/>
    <cellStyle name="Normal 5 2 3 2 7 2 2 3" xfId="25455" xr:uid="{E7FF88D4-02DD-4FD0-A8AB-54FEB036EE23}"/>
    <cellStyle name="Normal 5 2 3 2 7 2 3" xfId="12809" xr:uid="{D72B112F-B634-43D8-A0D5-8D3FD9BA0876}"/>
    <cellStyle name="Normal 5 2 3 2 7 2 4" xfId="21238" xr:uid="{9BFF98B3-ED9B-462E-9361-E0526DD2B59C}"/>
    <cellStyle name="Normal 5 2 3 2 7 3" xfId="6453" xr:uid="{00000000-0005-0000-0000-00007F180000}"/>
    <cellStyle name="Normal 5 2 3 2 7 3 2" xfId="14882" xr:uid="{8FCE2B28-7079-4C6E-8578-E689E08F717D}"/>
    <cellStyle name="Normal 5 2 3 2 7 3 3" xfId="23310" xr:uid="{CE5F5B81-1E27-4DE2-B5A0-E0BA1AE58684}"/>
    <cellStyle name="Normal 5 2 3 2 7 4" xfId="10664" xr:uid="{1A51DB1B-1DE7-49AD-9B6C-F11073B83F3B}"/>
    <cellStyle name="Normal 5 2 3 2 7 5" xfId="19093" xr:uid="{40DBA3E5-A887-4C96-AE6B-0B8FF5025468}"/>
    <cellStyle name="Normal 5 2 3 2 8" xfId="2581" xr:uid="{00000000-0005-0000-0000-000080180000}"/>
    <cellStyle name="Normal 5 2 3 2 8 2" xfId="6866" xr:uid="{00000000-0005-0000-0000-000081180000}"/>
    <cellStyle name="Normal 5 2 3 2 8 2 2" xfId="15295" xr:uid="{32FB6E53-84F3-469F-B3E5-054DC180802E}"/>
    <cellStyle name="Normal 5 2 3 2 8 2 3" xfId="23723" xr:uid="{6123E32E-9C67-4E07-A55B-8610F6ACD90D}"/>
    <cellStyle name="Normal 5 2 3 2 8 3" xfId="11077" xr:uid="{33A936D5-8706-4A39-B7AB-3BC6D67DB1BC}"/>
    <cellStyle name="Normal 5 2 3 2 8 4" xfId="19506" xr:uid="{549424B7-BA3C-4AB1-89C3-1A6A143077F3}"/>
    <cellStyle name="Normal 5 2 3 2 9" xfId="4801" xr:uid="{00000000-0005-0000-0000-000082180000}"/>
    <cellStyle name="Normal 5 2 3 2 9 2" xfId="13230" xr:uid="{FD5BAC04-B0A5-4BB2-9483-C620AFC35DE4}"/>
    <cellStyle name="Normal 5 2 3 2 9 3" xfId="21658" xr:uid="{76D79610-2EE0-4450-9C4C-56CE9F7D6ED3}"/>
    <cellStyle name="Normal 5 2 3 3" xfId="429" xr:uid="{00000000-0005-0000-0000-000083180000}"/>
    <cellStyle name="Normal 5 2 3 3 10" xfId="17445" xr:uid="{350B179A-02A7-4C4C-836D-48FBC1769901}"/>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93" xr:uid="{5E8CF34C-10FA-4628-A94D-A3B92C6C97FA}"/>
    <cellStyle name="Normal 5 2 3 3 2 2 2 2 3" xfId="24221" xr:uid="{4B0F3850-9AB5-4CD8-BBB3-EC2A6774312C}"/>
    <cellStyle name="Normal 5 2 3 3 2 2 2 3" xfId="11575" xr:uid="{E2207A21-273B-4C88-9538-F59389555DFA}"/>
    <cellStyle name="Normal 5 2 3 3 2 2 2 4" xfId="20004" xr:uid="{1588D88D-4F46-44FD-8063-4158ACF352D7}"/>
    <cellStyle name="Normal 5 2 3 3 2 2 3" xfId="5219" xr:uid="{00000000-0005-0000-0000-000088180000}"/>
    <cellStyle name="Normal 5 2 3 3 2 2 3 2" xfId="13648" xr:uid="{D4032DB5-AD72-449D-B43A-1AB1BFBBBDB3}"/>
    <cellStyle name="Normal 5 2 3 3 2 2 3 3" xfId="22076" xr:uid="{14A08A9B-3149-49B0-A5AD-55983E2DA0BF}"/>
    <cellStyle name="Normal 5 2 3 3 2 2 4" xfId="9430" xr:uid="{B188B78F-7B5B-477D-9B74-182D5AAA383F}"/>
    <cellStyle name="Normal 5 2 3 3 2 2 5" xfId="17859" xr:uid="{E107100B-0653-4FD8-9968-ECE7A25BEC23}"/>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206" xr:uid="{8EAD6292-7136-47A3-9DA7-6B59C4880F93}"/>
    <cellStyle name="Normal 5 2 3 3 2 3 2 2 3" xfId="24634" xr:uid="{29B9856D-716B-40EA-9E5E-E70C42379BCB}"/>
    <cellStyle name="Normal 5 2 3 3 2 3 2 3" xfId="11988" xr:uid="{54FDED7F-E33E-4C97-8CB0-34FB63CA8BE4}"/>
    <cellStyle name="Normal 5 2 3 3 2 3 2 4" xfId="20417" xr:uid="{292D762A-B1D2-49E8-9CDD-8881DB23C05C}"/>
    <cellStyle name="Normal 5 2 3 3 2 3 3" xfId="5632" xr:uid="{00000000-0005-0000-0000-00008C180000}"/>
    <cellStyle name="Normal 5 2 3 3 2 3 3 2" xfId="14061" xr:uid="{94C50464-4123-4C07-BE5E-7F8F0592D4A9}"/>
    <cellStyle name="Normal 5 2 3 3 2 3 3 3" xfId="22489" xr:uid="{03984F42-6554-46E5-AB44-985ABD252ABF}"/>
    <cellStyle name="Normal 5 2 3 3 2 3 4" xfId="9843" xr:uid="{2DEB9B90-79B4-4561-A09C-A01A132F9DC2}"/>
    <cellStyle name="Normal 5 2 3 3 2 3 5" xfId="18272" xr:uid="{98D93B55-674F-47AE-A45D-E8050101463B}"/>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9" xr:uid="{D3212570-7F83-4C5B-AB9D-87D0B97F7E04}"/>
    <cellStyle name="Normal 5 2 3 3 2 4 2 2 3" xfId="25047" xr:uid="{84838CE6-E74C-4C80-90D7-1B7B42A9A464}"/>
    <cellStyle name="Normal 5 2 3 3 2 4 2 3" xfId="12401" xr:uid="{FDD1C19A-376D-474C-95C0-C662E711A1E6}"/>
    <cellStyle name="Normal 5 2 3 3 2 4 2 4" xfId="20830" xr:uid="{D04B83D6-E646-4C3B-B1CB-7A52AA0E3D05}"/>
    <cellStyle name="Normal 5 2 3 3 2 4 3" xfId="6045" xr:uid="{00000000-0005-0000-0000-000090180000}"/>
    <cellStyle name="Normal 5 2 3 3 2 4 3 2" xfId="14474" xr:uid="{59FD5A6F-6872-48C6-936D-1566CE008FEE}"/>
    <cellStyle name="Normal 5 2 3 3 2 4 3 3" xfId="22902" xr:uid="{116BE833-D321-48DC-A314-276E07E0FD2F}"/>
    <cellStyle name="Normal 5 2 3 3 2 4 4" xfId="10256" xr:uid="{DEBC20F2-EDB8-4E8D-AEE5-9229146908D5}"/>
    <cellStyle name="Normal 5 2 3 3 2 4 5" xfId="18685" xr:uid="{10B285B1-F53E-4011-8221-EDF1FF48EE55}"/>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32" xr:uid="{7A2ECB16-2AAE-4A73-B123-21383EF361BC}"/>
    <cellStyle name="Normal 5 2 3 3 2 5 2 2 3" xfId="25460" xr:uid="{8FAD269E-D98F-4BFC-8E65-99A09486D47B}"/>
    <cellStyle name="Normal 5 2 3 3 2 5 2 3" xfId="12814" xr:uid="{5D8587EF-5298-4447-9D52-AB0C1DFE2A9A}"/>
    <cellStyle name="Normal 5 2 3 3 2 5 2 4" xfId="21243" xr:uid="{57DA5E97-72F6-4BDB-A9A4-98AA8E23D560}"/>
    <cellStyle name="Normal 5 2 3 3 2 5 3" xfId="6458" xr:uid="{00000000-0005-0000-0000-000094180000}"/>
    <cellStyle name="Normal 5 2 3 3 2 5 3 2" xfId="14887" xr:uid="{8337010E-B460-4DAB-9ADF-F5591310B4C1}"/>
    <cellStyle name="Normal 5 2 3 3 2 5 3 3" xfId="23315" xr:uid="{1E2BF9D0-667F-4148-BAF2-1F622568DD20}"/>
    <cellStyle name="Normal 5 2 3 3 2 5 4" xfId="10669" xr:uid="{B2F0543C-4829-4731-A75B-CBB697922580}"/>
    <cellStyle name="Normal 5 2 3 3 2 5 5" xfId="19098" xr:uid="{0F7BF386-641B-41AD-9DA1-F0784899786E}"/>
    <cellStyle name="Normal 5 2 3 3 2 6" xfId="2586" xr:uid="{00000000-0005-0000-0000-000095180000}"/>
    <cellStyle name="Normal 5 2 3 3 2 6 2" xfId="6871" xr:uid="{00000000-0005-0000-0000-000096180000}"/>
    <cellStyle name="Normal 5 2 3 3 2 6 2 2" xfId="15300" xr:uid="{93E26CC9-A9EB-48B0-9DBB-C69FCD1F9801}"/>
    <cellStyle name="Normal 5 2 3 3 2 6 2 3" xfId="23728" xr:uid="{767EE797-83B5-4E74-955E-90DBB5BDEA3A}"/>
    <cellStyle name="Normal 5 2 3 3 2 6 3" xfId="11082" xr:uid="{B4307BE2-274C-46CB-9F4C-30F0B946DAC7}"/>
    <cellStyle name="Normal 5 2 3 3 2 6 4" xfId="19511" xr:uid="{04A28D55-7BFA-48FC-80C3-ED077D35446A}"/>
    <cellStyle name="Normal 5 2 3 3 2 7" xfId="4806" xr:uid="{00000000-0005-0000-0000-000097180000}"/>
    <cellStyle name="Normal 5 2 3 3 2 7 2" xfId="13235" xr:uid="{D1C7E7BF-936D-4303-AEBB-9F57D3740BB9}"/>
    <cellStyle name="Normal 5 2 3 3 2 7 3" xfId="21663" xr:uid="{379F8DE6-133A-45A2-9AAE-9CCB2534E91F}"/>
    <cellStyle name="Normal 5 2 3 3 2 8" xfId="9017" xr:uid="{38A90997-CE2C-488C-974C-6FD7202B92A8}"/>
    <cellStyle name="Normal 5 2 3 3 2 9" xfId="17446" xr:uid="{93EA8ECD-89D3-4BD5-821F-81D9BBFF5A73}"/>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92" xr:uid="{CE1405B9-DBB2-4F44-8933-DB389256AA11}"/>
    <cellStyle name="Normal 5 2 3 3 3 2 2 3" xfId="24220" xr:uid="{03178427-869B-4E0B-A1E9-572A0362D71D}"/>
    <cellStyle name="Normal 5 2 3 3 3 2 3" xfId="11574" xr:uid="{C0EFB8BE-EB54-423F-A32B-3BC9B8CE3814}"/>
    <cellStyle name="Normal 5 2 3 3 3 2 4" xfId="20003" xr:uid="{8FA70D1D-B5D5-4990-A72B-EB351FD61457}"/>
    <cellStyle name="Normal 5 2 3 3 3 3" xfId="5218" xr:uid="{00000000-0005-0000-0000-00009B180000}"/>
    <cellStyle name="Normal 5 2 3 3 3 3 2" xfId="13647" xr:uid="{E85B4339-DAE2-44E6-9EB4-C059B3C8CCB3}"/>
    <cellStyle name="Normal 5 2 3 3 3 3 3" xfId="22075" xr:uid="{BA26D58C-E69D-4A57-8424-66BEDAED8F2E}"/>
    <cellStyle name="Normal 5 2 3 3 3 4" xfId="9429" xr:uid="{543EA001-0FDC-4ECE-A991-AD7719C9962D}"/>
    <cellStyle name="Normal 5 2 3 3 3 5" xfId="17858" xr:uid="{42F2B3A6-62AC-4794-9C22-6F7C7A5688F8}"/>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205" xr:uid="{778899A2-CCEC-488B-9443-B65255F9A4B0}"/>
    <cellStyle name="Normal 5 2 3 3 4 2 2 3" xfId="24633" xr:uid="{75E338BE-0438-4806-9926-A23A0627C785}"/>
    <cellStyle name="Normal 5 2 3 3 4 2 3" xfId="11987" xr:uid="{197EC4F2-7BBA-4F95-AE8D-B7323EDFA4BE}"/>
    <cellStyle name="Normal 5 2 3 3 4 2 4" xfId="20416" xr:uid="{A0F19B5D-32EB-4C9F-B3F3-332BBA01BEAB}"/>
    <cellStyle name="Normal 5 2 3 3 4 3" xfId="5631" xr:uid="{00000000-0005-0000-0000-00009F180000}"/>
    <cellStyle name="Normal 5 2 3 3 4 3 2" xfId="14060" xr:uid="{1EC3C7D8-A1E0-4F78-8A29-5035BC7CF7F7}"/>
    <cellStyle name="Normal 5 2 3 3 4 3 3" xfId="22488" xr:uid="{37F98FFC-2C93-4C2A-9DCA-52A9D7ED77EE}"/>
    <cellStyle name="Normal 5 2 3 3 4 4" xfId="9842" xr:uid="{CDEC0158-F1FB-4FB3-899E-75A6B8698E9E}"/>
    <cellStyle name="Normal 5 2 3 3 4 5" xfId="18271" xr:uid="{3D2E8623-B88A-48C4-BCED-986DA36FD3C7}"/>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8" xr:uid="{0F8B9F47-3FC8-45BF-B5C1-E0960DAF1593}"/>
    <cellStyle name="Normal 5 2 3 3 5 2 2 3" xfId="25046" xr:uid="{5C6DE484-86DD-47B6-9F31-9D2126C7ACA0}"/>
    <cellStyle name="Normal 5 2 3 3 5 2 3" xfId="12400" xr:uid="{A7BE4499-060B-4210-B882-C8AFFE25FB0E}"/>
    <cellStyle name="Normal 5 2 3 3 5 2 4" xfId="20829" xr:uid="{5B30F0C6-5D8E-49CB-9F63-05A7806720C1}"/>
    <cellStyle name="Normal 5 2 3 3 5 3" xfId="6044" xr:uid="{00000000-0005-0000-0000-0000A3180000}"/>
    <cellStyle name="Normal 5 2 3 3 5 3 2" xfId="14473" xr:uid="{D6C29DB0-8392-48CD-822F-0A7EA889FDB1}"/>
    <cellStyle name="Normal 5 2 3 3 5 3 3" xfId="22901" xr:uid="{9E704411-299A-4E64-ADFB-51E8E928B060}"/>
    <cellStyle name="Normal 5 2 3 3 5 4" xfId="10255" xr:uid="{3A211655-62DB-4D13-8044-00B05D7BD66B}"/>
    <cellStyle name="Normal 5 2 3 3 5 5" xfId="18684" xr:uid="{A99606A6-5C25-4298-8A47-02EE32C993E1}"/>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31" xr:uid="{907E829E-27AF-4502-89ED-D4062D12ADC9}"/>
    <cellStyle name="Normal 5 2 3 3 6 2 2 3" xfId="25459" xr:uid="{EAE319B1-812C-4F35-957A-49376D45ACF3}"/>
    <cellStyle name="Normal 5 2 3 3 6 2 3" xfId="12813" xr:uid="{1E8CE39D-3072-4B33-99AB-4681894F3014}"/>
    <cellStyle name="Normal 5 2 3 3 6 2 4" xfId="21242" xr:uid="{57833351-8D42-448B-A163-3BA3C803956F}"/>
    <cellStyle name="Normal 5 2 3 3 6 3" xfId="6457" xr:uid="{00000000-0005-0000-0000-0000A7180000}"/>
    <cellStyle name="Normal 5 2 3 3 6 3 2" xfId="14886" xr:uid="{51AE5F67-B4E1-4454-8F55-DCA52EB68F41}"/>
    <cellStyle name="Normal 5 2 3 3 6 3 3" xfId="23314" xr:uid="{ACDBE6A9-EEC2-45A0-85B1-C0F982938429}"/>
    <cellStyle name="Normal 5 2 3 3 6 4" xfId="10668" xr:uid="{8D80DEFD-6B99-4594-855C-154B117DA485}"/>
    <cellStyle name="Normal 5 2 3 3 6 5" xfId="19097" xr:uid="{517A0B4C-8360-43A1-98EF-585FD1E84F84}"/>
    <cellStyle name="Normal 5 2 3 3 7" xfId="2585" xr:uid="{00000000-0005-0000-0000-0000A8180000}"/>
    <cellStyle name="Normal 5 2 3 3 7 2" xfId="6870" xr:uid="{00000000-0005-0000-0000-0000A9180000}"/>
    <cellStyle name="Normal 5 2 3 3 7 2 2" xfId="15299" xr:uid="{13071FCD-C265-4CA2-9560-AE9D25438F56}"/>
    <cellStyle name="Normal 5 2 3 3 7 2 3" xfId="23727" xr:uid="{06763DB5-29C5-4FD9-9762-6E10B3D421E1}"/>
    <cellStyle name="Normal 5 2 3 3 7 3" xfId="11081" xr:uid="{6E1F991F-6366-4D66-8BCE-67275DFEFCAF}"/>
    <cellStyle name="Normal 5 2 3 3 7 4" xfId="19510" xr:uid="{22F4707A-DCE2-4424-B706-6B5425703C56}"/>
    <cellStyle name="Normal 5 2 3 3 8" xfId="4805" xr:uid="{00000000-0005-0000-0000-0000AA180000}"/>
    <cellStyle name="Normal 5 2 3 3 8 2" xfId="13234" xr:uid="{BBF75239-C953-42AA-A8EC-10771FF2396C}"/>
    <cellStyle name="Normal 5 2 3 3 8 3" xfId="21662" xr:uid="{02FB8B7D-4AC2-4F3A-9CBC-AD578B9450DB}"/>
    <cellStyle name="Normal 5 2 3 3 9" xfId="9016" xr:uid="{95156B28-4F92-467A-B717-36848E83AE8E}"/>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94" xr:uid="{E13D953E-B368-4707-96D8-CA13C7323E08}"/>
    <cellStyle name="Normal 5 2 3 4 2 2 2 3" xfId="24222" xr:uid="{0F13F0BD-4D48-4DB2-A40F-F0D32CE3D1C1}"/>
    <cellStyle name="Normal 5 2 3 4 2 2 3" xfId="11576" xr:uid="{6BA413A2-9BF5-4133-92BF-3CEDE8B3F6CE}"/>
    <cellStyle name="Normal 5 2 3 4 2 2 4" xfId="20005" xr:uid="{B6481DA6-8C59-461C-B205-886812405619}"/>
    <cellStyle name="Normal 5 2 3 4 2 3" xfId="5220" xr:uid="{00000000-0005-0000-0000-0000AF180000}"/>
    <cellStyle name="Normal 5 2 3 4 2 3 2" xfId="13649" xr:uid="{8ADEF336-9FF7-447A-98B3-0FBBC35998AE}"/>
    <cellStyle name="Normal 5 2 3 4 2 3 3" xfId="22077" xr:uid="{09EC5047-7C4F-4FA2-96C6-C5BB78ABE40C}"/>
    <cellStyle name="Normal 5 2 3 4 2 4" xfId="9431" xr:uid="{33091BA2-75AE-4B3E-B242-3466B1C3EEEE}"/>
    <cellStyle name="Normal 5 2 3 4 2 5" xfId="17860" xr:uid="{6104926B-F236-4D61-9BF6-1BBD83CCA35F}"/>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7" xr:uid="{B9A7E649-0BB1-4C47-BC57-805E899935E9}"/>
    <cellStyle name="Normal 5 2 3 4 3 2 2 3" xfId="24635" xr:uid="{66D295AB-798D-4082-A725-5D72239EDB9A}"/>
    <cellStyle name="Normal 5 2 3 4 3 2 3" xfId="11989" xr:uid="{54A0A948-BBDD-4931-8133-583A11C2ACB3}"/>
    <cellStyle name="Normal 5 2 3 4 3 2 4" xfId="20418" xr:uid="{0DD9FB72-41E1-4812-9C6D-2C8D342A1C96}"/>
    <cellStyle name="Normal 5 2 3 4 3 3" xfId="5633" xr:uid="{00000000-0005-0000-0000-0000B3180000}"/>
    <cellStyle name="Normal 5 2 3 4 3 3 2" xfId="14062" xr:uid="{1BF31119-8EDB-4451-A483-3D0D413E09E3}"/>
    <cellStyle name="Normal 5 2 3 4 3 3 3" xfId="22490" xr:uid="{63C04829-2665-4879-84A8-AA9781F65191}"/>
    <cellStyle name="Normal 5 2 3 4 3 4" xfId="9844" xr:uid="{0AF3EB08-1A5E-4592-9BB7-9DD8642B6DAE}"/>
    <cellStyle name="Normal 5 2 3 4 3 5" xfId="18273" xr:uid="{6CDF6A2D-5527-499E-98AF-9837403C68B4}"/>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20" xr:uid="{E3609132-598F-4DEB-8428-C30936A34569}"/>
    <cellStyle name="Normal 5 2 3 4 4 2 2 3" xfId="25048" xr:uid="{1B8C7073-D2E3-48B9-9A4B-A8E563A4A159}"/>
    <cellStyle name="Normal 5 2 3 4 4 2 3" xfId="12402" xr:uid="{82F5B3D3-796E-4CBC-A84C-D5F1036B2049}"/>
    <cellStyle name="Normal 5 2 3 4 4 2 4" xfId="20831" xr:uid="{DA396BC7-547F-44EE-B27C-43D2CAC4DF65}"/>
    <cellStyle name="Normal 5 2 3 4 4 3" xfId="6046" xr:uid="{00000000-0005-0000-0000-0000B7180000}"/>
    <cellStyle name="Normal 5 2 3 4 4 3 2" xfId="14475" xr:uid="{68F3FE72-8C1E-492B-8BD3-DD3B9B6B5104}"/>
    <cellStyle name="Normal 5 2 3 4 4 3 3" xfId="22903" xr:uid="{D443522A-491A-4C31-B03F-A3B9877A7B00}"/>
    <cellStyle name="Normal 5 2 3 4 4 4" xfId="10257" xr:uid="{F51D66AF-CF84-4451-8457-9DB7D3910A03}"/>
    <cellStyle name="Normal 5 2 3 4 4 5" xfId="18686" xr:uid="{FF07EED8-14B8-4AC1-9196-D8BA474E96F3}"/>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33" xr:uid="{35A744A5-2CE0-4B6B-A626-A13161DFA1AA}"/>
    <cellStyle name="Normal 5 2 3 4 5 2 2 3" xfId="25461" xr:uid="{38CB12AB-0174-41EF-9459-91920C5DB5AA}"/>
    <cellStyle name="Normal 5 2 3 4 5 2 3" xfId="12815" xr:uid="{6100B2A6-ED56-4AED-BB3A-E5E867EA47EA}"/>
    <cellStyle name="Normal 5 2 3 4 5 2 4" xfId="21244" xr:uid="{919407F8-9A4C-4A3E-8E51-9C5F27F168BA}"/>
    <cellStyle name="Normal 5 2 3 4 5 3" xfId="6459" xr:uid="{00000000-0005-0000-0000-0000BB180000}"/>
    <cellStyle name="Normal 5 2 3 4 5 3 2" xfId="14888" xr:uid="{7AAE04DC-9288-4BDB-A4C2-4DF78942977C}"/>
    <cellStyle name="Normal 5 2 3 4 5 3 3" xfId="23316" xr:uid="{AE910664-131D-452C-BC9A-88FED6E076E6}"/>
    <cellStyle name="Normal 5 2 3 4 5 4" xfId="10670" xr:uid="{C3155C77-77B3-4C41-B4B3-D541D27AD2ED}"/>
    <cellStyle name="Normal 5 2 3 4 5 5" xfId="19099" xr:uid="{7C137151-FF30-4698-BB92-129B1FB10B66}"/>
    <cellStyle name="Normal 5 2 3 4 6" xfId="2587" xr:uid="{00000000-0005-0000-0000-0000BC180000}"/>
    <cellStyle name="Normal 5 2 3 4 6 2" xfId="6872" xr:uid="{00000000-0005-0000-0000-0000BD180000}"/>
    <cellStyle name="Normal 5 2 3 4 6 2 2" xfId="15301" xr:uid="{AD752FD2-E8C9-466F-9415-AB881C91F657}"/>
    <cellStyle name="Normal 5 2 3 4 6 2 3" xfId="23729" xr:uid="{D0419B8F-B2C2-4429-A0E5-1D6A6AAF10CF}"/>
    <cellStyle name="Normal 5 2 3 4 6 3" xfId="11083" xr:uid="{76F6AEAC-9E70-43C8-9987-FC9A337EA954}"/>
    <cellStyle name="Normal 5 2 3 4 6 4" xfId="19512" xr:uid="{592AF446-BEF1-418C-A7DF-45B29AEF8105}"/>
    <cellStyle name="Normal 5 2 3 4 7" xfId="4807" xr:uid="{00000000-0005-0000-0000-0000BE180000}"/>
    <cellStyle name="Normal 5 2 3 4 7 2" xfId="13236" xr:uid="{F39679FE-0721-40B5-9939-0C53A9BC4415}"/>
    <cellStyle name="Normal 5 2 3 4 7 3" xfId="21664" xr:uid="{379B77A2-249E-4A39-9A5A-278FF95096C0}"/>
    <cellStyle name="Normal 5 2 3 4 8" xfId="9018" xr:uid="{CB20C96C-A807-4709-9FD8-90139F6741A9}"/>
    <cellStyle name="Normal 5 2 3 4 9" xfId="17447" xr:uid="{47B1E32C-880F-42F7-8A2E-D56F6B628C42}"/>
    <cellStyle name="Normal 5 2 3 5" xfId="899" xr:uid="{00000000-0005-0000-0000-0000BF180000}"/>
    <cellStyle name="Normal 5 2 3 5 2" xfId="3134" xr:uid="{00000000-0005-0000-0000-0000C0180000}"/>
    <cellStyle name="Normal 5 2 3 5 2 2" xfId="7358" xr:uid="{00000000-0005-0000-0000-0000C1180000}"/>
    <cellStyle name="Normal 5 2 3 5 2 2 2" xfId="15787" xr:uid="{C9C2F80F-9883-4B3D-BE84-67DC1A4B406D}"/>
    <cellStyle name="Normal 5 2 3 5 2 2 3" xfId="24215" xr:uid="{7AA5CF15-0B9B-42B4-8CD7-6CAA844632F7}"/>
    <cellStyle name="Normal 5 2 3 5 2 3" xfId="11569" xr:uid="{A56BB8C6-B9CD-4BE6-8274-041F2E249F27}"/>
    <cellStyle name="Normal 5 2 3 5 2 4" xfId="19998" xr:uid="{520442B3-383C-451D-BBAF-24B10C1338A9}"/>
    <cellStyle name="Normal 5 2 3 5 3" xfId="5213" xr:uid="{00000000-0005-0000-0000-0000C2180000}"/>
    <cellStyle name="Normal 5 2 3 5 3 2" xfId="13642" xr:uid="{73F79BEA-8602-4262-9561-8E947C57F0F4}"/>
    <cellStyle name="Normal 5 2 3 5 3 3" xfId="22070" xr:uid="{900129A1-8A4C-46B1-9A9D-A09637976F8F}"/>
    <cellStyle name="Normal 5 2 3 5 4" xfId="9424" xr:uid="{97C1EAFE-E8F3-4A38-AF77-62C8D1E03881}"/>
    <cellStyle name="Normal 5 2 3 5 5" xfId="17853" xr:uid="{A064FA0F-16BB-4D15-AD2E-5D3AFC9E1D11}"/>
    <cellStyle name="Normal 5 2 3 6" xfId="1317" xr:uid="{00000000-0005-0000-0000-0000C3180000}"/>
    <cellStyle name="Normal 5 2 3 6 2" xfId="3547" xr:uid="{00000000-0005-0000-0000-0000C4180000}"/>
    <cellStyle name="Normal 5 2 3 6 2 2" xfId="7771" xr:uid="{00000000-0005-0000-0000-0000C5180000}"/>
    <cellStyle name="Normal 5 2 3 6 2 2 2" xfId="16200" xr:uid="{9D78ECB6-0F46-4EFF-849E-6FB1DE57EF52}"/>
    <cellStyle name="Normal 5 2 3 6 2 2 3" xfId="24628" xr:uid="{81D31029-E5D0-496D-BE39-926AA71C2CE1}"/>
    <cellStyle name="Normal 5 2 3 6 2 3" xfId="11982" xr:uid="{95842204-FBC8-47FA-823D-7D3F4A000199}"/>
    <cellStyle name="Normal 5 2 3 6 2 4" xfId="20411" xr:uid="{3B3C4894-634B-44BD-AA1B-1081A67AFB1C}"/>
    <cellStyle name="Normal 5 2 3 6 3" xfId="5626" xr:uid="{00000000-0005-0000-0000-0000C6180000}"/>
    <cellStyle name="Normal 5 2 3 6 3 2" xfId="14055" xr:uid="{596B8B2A-8AAC-4835-BFF4-1964F5FF6AF1}"/>
    <cellStyle name="Normal 5 2 3 6 3 3" xfId="22483" xr:uid="{DC62DEBF-3CC9-42C2-BAE2-DB64C69E1948}"/>
    <cellStyle name="Normal 5 2 3 6 4" xfId="9837" xr:uid="{8D1AB94C-8127-4398-A3E5-BC686EB2AB2C}"/>
    <cellStyle name="Normal 5 2 3 6 5" xfId="18266" xr:uid="{D2639A11-8D06-4EA8-A892-61E6E78A511C}"/>
    <cellStyle name="Normal 5 2 3 7" xfId="1730" xr:uid="{00000000-0005-0000-0000-0000C7180000}"/>
    <cellStyle name="Normal 5 2 3 7 2" xfId="3960" xr:uid="{00000000-0005-0000-0000-0000C8180000}"/>
    <cellStyle name="Normal 5 2 3 7 2 2" xfId="8184" xr:uid="{00000000-0005-0000-0000-0000C9180000}"/>
    <cellStyle name="Normal 5 2 3 7 2 2 2" xfId="16613" xr:uid="{3979E132-CB8F-449A-8B39-5A84A7F56895}"/>
    <cellStyle name="Normal 5 2 3 7 2 2 3" xfId="25041" xr:uid="{A9A605AE-7FB5-419D-A1AE-CFA0BBD72777}"/>
    <cellStyle name="Normal 5 2 3 7 2 3" xfId="12395" xr:uid="{ED86F0CB-DE92-4892-878D-B9625A13B4CD}"/>
    <cellStyle name="Normal 5 2 3 7 2 4" xfId="20824" xr:uid="{480C3B79-18D9-473B-B2DE-7F44CBCD0181}"/>
    <cellStyle name="Normal 5 2 3 7 3" xfId="6039" xr:uid="{00000000-0005-0000-0000-0000CA180000}"/>
    <cellStyle name="Normal 5 2 3 7 3 2" xfId="14468" xr:uid="{E043D396-EF10-4EF6-9293-448F96621140}"/>
    <cellStyle name="Normal 5 2 3 7 3 3" xfId="22896" xr:uid="{25B86A3A-0A2D-41F3-A983-7E6FCDDB506D}"/>
    <cellStyle name="Normal 5 2 3 7 4" xfId="10250" xr:uid="{410D0EEF-A6E0-4F8D-8051-C75F34A2471D}"/>
    <cellStyle name="Normal 5 2 3 7 5" xfId="18679" xr:uid="{6450BCBD-8D1C-49B4-8371-296B5259ACA9}"/>
    <cellStyle name="Normal 5 2 3 8" xfId="2144" xr:uid="{00000000-0005-0000-0000-0000CB180000}"/>
    <cellStyle name="Normal 5 2 3 8 2" xfId="4373" xr:uid="{00000000-0005-0000-0000-0000CC180000}"/>
    <cellStyle name="Normal 5 2 3 8 2 2" xfId="8597" xr:uid="{00000000-0005-0000-0000-0000CD180000}"/>
    <cellStyle name="Normal 5 2 3 8 2 2 2" xfId="17026" xr:uid="{ABDC8D82-59E5-4214-A03A-24B78092F477}"/>
    <cellStyle name="Normal 5 2 3 8 2 2 3" xfId="25454" xr:uid="{5F623310-9ADA-42B9-BF2D-536D48E9F848}"/>
    <cellStyle name="Normal 5 2 3 8 2 3" xfId="12808" xr:uid="{55D33B34-D02F-4FD3-80CB-2FECAE855D51}"/>
    <cellStyle name="Normal 5 2 3 8 2 4" xfId="21237" xr:uid="{1746D85F-BC49-4BF1-9DCC-AAA82A256913}"/>
    <cellStyle name="Normal 5 2 3 8 3" xfId="6452" xr:uid="{00000000-0005-0000-0000-0000CE180000}"/>
    <cellStyle name="Normal 5 2 3 8 3 2" xfId="14881" xr:uid="{0ACD5A9A-69E3-46F5-BD74-46DEF3C6611B}"/>
    <cellStyle name="Normal 5 2 3 8 3 3" xfId="23309" xr:uid="{BF6B541D-B224-4D38-BEB6-FB93A73EE4C6}"/>
    <cellStyle name="Normal 5 2 3 8 4" xfId="10663" xr:uid="{0614186A-0460-4CDC-9477-30E02BCAFA5B}"/>
    <cellStyle name="Normal 5 2 3 8 5" xfId="19092" xr:uid="{356AEC33-D802-491F-A633-BA77EC65CFD1}"/>
    <cellStyle name="Normal 5 2 3 9" xfId="2580" xr:uid="{00000000-0005-0000-0000-0000CF180000}"/>
    <cellStyle name="Normal 5 2 3 9 2" xfId="6865" xr:uid="{00000000-0005-0000-0000-0000D0180000}"/>
    <cellStyle name="Normal 5 2 3 9 2 2" xfId="15294" xr:uid="{B9A08DE3-B8F4-4159-8440-0C7F769B441B}"/>
    <cellStyle name="Normal 5 2 3 9 2 3" xfId="23722" xr:uid="{2405520E-6AA8-4980-924F-8735CA52775F}"/>
    <cellStyle name="Normal 5 2 3 9 3" xfId="11076" xr:uid="{E9023042-5EA3-4C8B-B3C5-F035DB41676E}"/>
    <cellStyle name="Normal 5 2 3 9 4" xfId="19505" xr:uid="{FA3EA16D-3562-4A5A-94B6-1CA7ED6CD323}"/>
    <cellStyle name="Normal 5 2 4" xfId="432" xr:uid="{00000000-0005-0000-0000-0000D1180000}"/>
    <cellStyle name="Normal 5 2 4 10" xfId="9019" xr:uid="{1AA1C534-9273-4CA7-BA4C-6FBF5ED7F98B}"/>
    <cellStyle name="Normal 5 2 4 11" xfId="17448" xr:uid="{C9493702-A749-4C19-9649-C74F55BD370C}"/>
    <cellStyle name="Normal 5 2 4 2" xfId="433" xr:uid="{00000000-0005-0000-0000-0000D2180000}"/>
    <cellStyle name="Normal 5 2 4 2 10" xfId="17449" xr:uid="{E74D081A-66A7-4397-B453-EF10DF96A7BC}"/>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7" xr:uid="{BAF18DA9-3593-4405-AFEF-942DCDD68C9E}"/>
    <cellStyle name="Normal 5 2 4 2 2 2 2 2 3" xfId="24225" xr:uid="{7FD7C7D2-1A75-4D12-8F60-74D001C3ABAC}"/>
    <cellStyle name="Normal 5 2 4 2 2 2 2 3" xfId="11579" xr:uid="{845DA267-9CAE-42FD-8E60-686E7E68FE88}"/>
    <cellStyle name="Normal 5 2 4 2 2 2 2 4" xfId="20008" xr:uid="{8E12EE08-34C6-48D2-BAEB-0CBBC71D0CB2}"/>
    <cellStyle name="Normal 5 2 4 2 2 2 3" xfId="5223" xr:uid="{00000000-0005-0000-0000-0000D7180000}"/>
    <cellStyle name="Normal 5 2 4 2 2 2 3 2" xfId="13652" xr:uid="{C337CE6A-8435-4650-8B0D-BA745B383D2A}"/>
    <cellStyle name="Normal 5 2 4 2 2 2 3 3" xfId="22080" xr:uid="{3BD26760-B18C-4965-A59B-09B718150D3F}"/>
    <cellStyle name="Normal 5 2 4 2 2 2 4" xfId="9434" xr:uid="{7846C48A-6C41-4062-BB27-B34EF61C1886}"/>
    <cellStyle name="Normal 5 2 4 2 2 2 5" xfId="17863" xr:uid="{68CD693C-D70F-4B7F-B1F3-2EEDA55F9EB3}"/>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10" xr:uid="{66A18579-8898-476C-B69F-11F27E8B8F87}"/>
    <cellStyle name="Normal 5 2 4 2 2 3 2 2 3" xfId="24638" xr:uid="{A2DE235D-42CC-44FD-8C20-D928982F1F5B}"/>
    <cellStyle name="Normal 5 2 4 2 2 3 2 3" xfId="11992" xr:uid="{7053471C-4B9B-4647-AACD-17904F44FE33}"/>
    <cellStyle name="Normal 5 2 4 2 2 3 2 4" xfId="20421" xr:uid="{19D9C529-603C-48FF-AC25-D89A8190D99B}"/>
    <cellStyle name="Normal 5 2 4 2 2 3 3" xfId="5636" xr:uid="{00000000-0005-0000-0000-0000DB180000}"/>
    <cellStyle name="Normal 5 2 4 2 2 3 3 2" xfId="14065" xr:uid="{EBEA2346-0BD6-4D9B-AFB7-7354FE28E8EB}"/>
    <cellStyle name="Normal 5 2 4 2 2 3 3 3" xfId="22493" xr:uid="{BF967327-2923-4120-BF34-925EA650D723}"/>
    <cellStyle name="Normal 5 2 4 2 2 3 4" xfId="9847" xr:uid="{A939FCF1-7B08-45E3-9584-3219ED39DC79}"/>
    <cellStyle name="Normal 5 2 4 2 2 3 5" xfId="18276" xr:uid="{788DC1B2-39E1-4297-9BC0-73BAE6DB6651}"/>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23" xr:uid="{5BF1A68C-7B82-4072-B5E0-090EC992CBFA}"/>
    <cellStyle name="Normal 5 2 4 2 2 4 2 2 3" xfId="25051" xr:uid="{3C6928EF-1C7C-48FF-A350-B7294B7339E8}"/>
    <cellStyle name="Normal 5 2 4 2 2 4 2 3" xfId="12405" xr:uid="{BB6348A4-2F22-4FB1-A3C2-2B643847B5FB}"/>
    <cellStyle name="Normal 5 2 4 2 2 4 2 4" xfId="20834" xr:uid="{BC4BFBF9-0B37-4733-8B45-E627033155E1}"/>
    <cellStyle name="Normal 5 2 4 2 2 4 3" xfId="6049" xr:uid="{00000000-0005-0000-0000-0000DF180000}"/>
    <cellStyle name="Normal 5 2 4 2 2 4 3 2" xfId="14478" xr:uid="{2127765E-EDA1-431A-AAF9-27D356CD0A72}"/>
    <cellStyle name="Normal 5 2 4 2 2 4 3 3" xfId="22906" xr:uid="{89F8327B-AF1A-4DC4-AA40-2D17244B7A34}"/>
    <cellStyle name="Normal 5 2 4 2 2 4 4" xfId="10260" xr:uid="{4AB7FC81-3F3D-4468-992A-6A7388767605}"/>
    <cellStyle name="Normal 5 2 4 2 2 4 5" xfId="18689" xr:uid="{A2665BFC-B5AF-4AB8-A619-4624F740DF1F}"/>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36" xr:uid="{8C7E3C07-85E7-4AC7-8FB9-DEC89D8B5C15}"/>
    <cellStyle name="Normal 5 2 4 2 2 5 2 2 3" xfId="25464" xr:uid="{15BC73C6-B5FD-4759-9E48-E9D4294DFC9A}"/>
    <cellStyle name="Normal 5 2 4 2 2 5 2 3" xfId="12818" xr:uid="{53B8DDB3-756D-48F8-94A1-C8DD039A489D}"/>
    <cellStyle name="Normal 5 2 4 2 2 5 2 4" xfId="21247" xr:uid="{A6B4D4EA-6DEC-4C4D-91B5-F04E484EF9D8}"/>
    <cellStyle name="Normal 5 2 4 2 2 5 3" xfId="6462" xr:uid="{00000000-0005-0000-0000-0000E3180000}"/>
    <cellStyle name="Normal 5 2 4 2 2 5 3 2" xfId="14891" xr:uid="{5E4D7C06-A352-4C59-AC3E-A08A699D5394}"/>
    <cellStyle name="Normal 5 2 4 2 2 5 3 3" xfId="23319" xr:uid="{C7DF2496-B0BD-48A8-961D-A788B6BA49D3}"/>
    <cellStyle name="Normal 5 2 4 2 2 5 4" xfId="10673" xr:uid="{4C09DB52-9935-4124-BD83-00DA337B5FFF}"/>
    <cellStyle name="Normal 5 2 4 2 2 5 5" xfId="19102" xr:uid="{16C693D2-1881-4566-9183-CBF38E0FF78A}"/>
    <cellStyle name="Normal 5 2 4 2 2 6" xfId="2590" xr:uid="{00000000-0005-0000-0000-0000E4180000}"/>
    <cellStyle name="Normal 5 2 4 2 2 6 2" xfId="6875" xr:uid="{00000000-0005-0000-0000-0000E5180000}"/>
    <cellStyle name="Normal 5 2 4 2 2 6 2 2" xfId="15304" xr:uid="{6D176A8B-C1B7-4338-B5ED-3432D2A28020}"/>
    <cellStyle name="Normal 5 2 4 2 2 6 2 3" xfId="23732" xr:uid="{08A2E0DB-7820-4177-91F1-3C9132CBD5EE}"/>
    <cellStyle name="Normal 5 2 4 2 2 6 3" xfId="11086" xr:uid="{EF0678C8-97FB-4707-B9BF-617D5AA74B5F}"/>
    <cellStyle name="Normal 5 2 4 2 2 6 4" xfId="19515" xr:uid="{9F54AC48-00B6-4A91-AECF-F86EE8267FF7}"/>
    <cellStyle name="Normal 5 2 4 2 2 7" xfId="4810" xr:uid="{00000000-0005-0000-0000-0000E6180000}"/>
    <cellStyle name="Normal 5 2 4 2 2 7 2" xfId="13239" xr:uid="{1456BF65-3DE2-48F6-AAB2-72D0CB02DCD0}"/>
    <cellStyle name="Normal 5 2 4 2 2 7 3" xfId="21667" xr:uid="{C0F45702-C4FB-4627-8D67-2DB8E1AB85A9}"/>
    <cellStyle name="Normal 5 2 4 2 2 8" xfId="9021" xr:uid="{3DF94F6B-2902-47CE-A73C-3F220AECE566}"/>
    <cellStyle name="Normal 5 2 4 2 2 9" xfId="17450" xr:uid="{DC98DE81-2C6E-4295-BC6F-054D9D94B810}"/>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96" xr:uid="{0649673C-9B3C-4CB8-8367-21B23325CB46}"/>
    <cellStyle name="Normal 5 2 4 2 3 2 2 3" xfId="24224" xr:uid="{E80AE8D7-5ADD-4712-99EF-8488563F8637}"/>
    <cellStyle name="Normal 5 2 4 2 3 2 3" xfId="11578" xr:uid="{DD0646C9-AC70-46A4-9FCC-BC045D9D8303}"/>
    <cellStyle name="Normal 5 2 4 2 3 2 4" xfId="20007" xr:uid="{4B464429-2D91-492D-8B55-2EFDE703FFDE}"/>
    <cellStyle name="Normal 5 2 4 2 3 3" xfId="5222" xr:uid="{00000000-0005-0000-0000-0000EA180000}"/>
    <cellStyle name="Normal 5 2 4 2 3 3 2" xfId="13651" xr:uid="{00F7BF04-E16F-4665-B7FB-DEE5C08FF7D6}"/>
    <cellStyle name="Normal 5 2 4 2 3 3 3" xfId="22079" xr:uid="{3572C950-C138-408A-84CF-46B7D0D5EF3A}"/>
    <cellStyle name="Normal 5 2 4 2 3 4" xfId="9433" xr:uid="{7794B709-C987-4FE3-A7ED-687CB53B0B35}"/>
    <cellStyle name="Normal 5 2 4 2 3 5" xfId="17862" xr:uid="{39531AA7-6CCB-4BC4-8E3C-02307A6B894F}"/>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9" xr:uid="{82B70E32-4C69-4E3E-A2C2-2D9182A2CF72}"/>
    <cellStyle name="Normal 5 2 4 2 4 2 2 3" xfId="24637" xr:uid="{66A406FC-85A5-4BBC-9AA9-6D8429DDC9E9}"/>
    <cellStyle name="Normal 5 2 4 2 4 2 3" xfId="11991" xr:uid="{0955296C-91D4-4BFB-BB79-63B146C8F01E}"/>
    <cellStyle name="Normal 5 2 4 2 4 2 4" xfId="20420" xr:uid="{643EAFC5-65AD-45A2-B48A-2DC7D3A98BE4}"/>
    <cellStyle name="Normal 5 2 4 2 4 3" xfId="5635" xr:uid="{00000000-0005-0000-0000-0000EE180000}"/>
    <cellStyle name="Normal 5 2 4 2 4 3 2" xfId="14064" xr:uid="{2B15997E-AC18-4266-BE30-53A2FA0330C7}"/>
    <cellStyle name="Normal 5 2 4 2 4 3 3" xfId="22492" xr:uid="{B42E87CE-8FCE-41E4-AFA3-0C2072A420CD}"/>
    <cellStyle name="Normal 5 2 4 2 4 4" xfId="9846" xr:uid="{31DFE622-F1D9-4C3D-9C15-72C0B5D91C45}"/>
    <cellStyle name="Normal 5 2 4 2 4 5" xfId="18275" xr:uid="{6DE97FF4-D982-4749-A34D-FFE6C50723B7}"/>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22" xr:uid="{82A93BF4-BB8A-4258-8182-AB8827371509}"/>
    <cellStyle name="Normal 5 2 4 2 5 2 2 3" xfId="25050" xr:uid="{0B754E46-45E6-49D6-AA38-655389D3CCDF}"/>
    <cellStyle name="Normal 5 2 4 2 5 2 3" xfId="12404" xr:uid="{A6DE5AC8-BA71-42AD-ADD6-3C729EC27552}"/>
    <cellStyle name="Normal 5 2 4 2 5 2 4" xfId="20833" xr:uid="{64E06B99-4BAA-451B-BE68-D7C099E86E63}"/>
    <cellStyle name="Normal 5 2 4 2 5 3" xfId="6048" xr:uid="{00000000-0005-0000-0000-0000F2180000}"/>
    <cellStyle name="Normal 5 2 4 2 5 3 2" xfId="14477" xr:uid="{47660637-3F77-47D5-B330-561790CE1459}"/>
    <cellStyle name="Normal 5 2 4 2 5 3 3" xfId="22905" xr:uid="{E344E842-29A6-4391-A27E-06CD0597AFE9}"/>
    <cellStyle name="Normal 5 2 4 2 5 4" xfId="10259" xr:uid="{3CCD6481-2DC6-44C0-B186-CBA40BAA80C6}"/>
    <cellStyle name="Normal 5 2 4 2 5 5" xfId="18688" xr:uid="{A920DC72-E256-40C1-93EF-FD81E3261ECF}"/>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35" xr:uid="{80B54F04-F917-4EDF-A94B-14D0C32429A8}"/>
    <cellStyle name="Normal 5 2 4 2 6 2 2 3" xfId="25463" xr:uid="{B22013DD-394E-4B7B-9706-904B00BBCA24}"/>
    <cellStyle name="Normal 5 2 4 2 6 2 3" xfId="12817" xr:uid="{A31AAB23-A3C6-4B24-A7AF-BA2F60742D4A}"/>
    <cellStyle name="Normal 5 2 4 2 6 2 4" xfId="21246" xr:uid="{EDC636E0-F597-4BB6-8E6C-AFBF30701353}"/>
    <cellStyle name="Normal 5 2 4 2 6 3" xfId="6461" xr:uid="{00000000-0005-0000-0000-0000F6180000}"/>
    <cellStyle name="Normal 5 2 4 2 6 3 2" xfId="14890" xr:uid="{7DAD26D0-F427-4ACA-A697-45005BD212A4}"/>
    <cellStyle name="Normal 5 2 4 2 6 3 3" xfId="23318" xr:uid="{F608496E-9D6A-4594-8541-8FE8F6CE5C4F}"/>
    <cellStyle name="Normal 5 2 4 2 6 4" xfId="10672" xr:uid="{C613387A-7450-4321-A349-FAE9E19DAA58}"/>
    <cellStyle name="Normal 5 2 4 2 6 5" xfId="19101" xr:uid="{DB83992F-9352-4EF1-90D5-01AD552FA017}"/>
    <cellStyle name="Normal 5 2 4 2 7" xfId="2589" xr:uid="{00000000-0005-0000-0000-0000F7180000}"/>
    <cellStyle name="Normal 5 2 4 2 7 2" xfId="6874" xr:uid="{00000000-0005-0000-0000-0000F8180000}"/>
    <cellStyle name="Normal 5 2 4 2 7 2 2" xfId="15303" xr:uid="{3040E571-BA27-4EB9-9411-361FC3C84998}"/>
    <cellStyle name="Normal 5 2 4 2 7 2 3" xfId="23731" xr:uid="{164039B9-B61A-4B02-90D3-82F41E069F68}"/>
    <cellStyle name="Normal 5 2 4 2 7 3" xfId="11085" xr:uid="{D8B04270-7518-46AE-9234-730869E87DA2}"/>
    <cellStyle name="Normal 5 2 4 2 7 4" xfId="19514" xr:uid="{3EB6E797-D882-4DC8-BBE2-458E44707A03}"/>
    <cellStyle name="Normal 5 2 4 2 8" xfId="4809" xr:uid="{00000000-0005-0000-0000-0000F9180000}"/>
    <cellStyle name="Normal 5 2 4 2 8 2" xfId="13238" xr:uid="{98EB262D-E548-45CA-879C-C5C0A78633AF}"/>
    <cellStyle name="Normal 5 2 4 2 8 3" xfId="21666" xr:uid="{CCA46B4C-CB2C-48F2-93D2-6D27F2C5E0F6}"/>
    <cellStyle name="Normal 5 2 4 2 9" xfId="9020" xr:uid="{47950175-8827-49C1-AA3B-99C9607CBC27}"/>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8" xr:uid="{2C57EAF1-0CE5-4142-9172-FABB31470839}"/>
    <cellStyle name="Normal 5 2 4 3 2 2 2 3" xfId="24226" xr:uid="{58197974-230F-420C-BE30-D252719899B5}"/>
    <cellStyle name="Normal 5 2 4 3 2 2 3" xfId="11580" xr:uid="{69A432E4-B184-4220-A8A3-7FB781C57986}"/>
    <cellStyle name="Normal 5 2 4 3 2 2 4" xfId="20009" xr:uid="{D841CFA4-5816-40F4-917E-8F463FDB44DB}"/>
    <cellStyle name="Normal 5 2 4 3 2 3" xfId="5224" xr:uid="{00000000-0005-0000-0000-0000FE180000}"/>
    <cellStyle name="Normal 5 2 4 3 2 3 2" xfId="13653" xr:uid="{12DCA243-E8FE-4E73-93B0-1E7F66D26E55}"/>
    <cellStyle name="Normal 5 2 4 3 2 3 3" xfId="22081" xr:uid="{DDB9052C-AB8B-41F9-B9BF-69103E254203}"/>
    <cellStyle name="Normal 5 2 4 3 2 4" xfId="9435" xr:uid="{96E626E3-6659-4BCD-A701-45C42F84DE54}"/>
    <cellStyle name="Normal 5 2 4 3 2 5" xfId="17864" xr:uid="{9DFD30A3-D244-4B65-ADD4-885510D95CA6}"/>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11" xr:uid="{81CCA965-DA8B-4BAF-B742-02F6530BDA15}"/>
    <cellStyle name="Normal 5 2 4 3 3 2 2 3" xfId="24639" xr:uid="{BC2F50C2-239D-47D4-8025-459454DF59EB}"/>
    <cellStyle name="Normal 5 2 4 3 3 2 3" xfId="11993" xr:uid="{8C249AD3-CDB1-4017-961B-7B0F955F79D8}"/>
    <cellStyle name="Normal 5 2 4 3 3 2 4" xfId="20422" xr:uid="{471CAAE3-8995-4785-8E8A-DD7F9F83CF3C}"/>
    <cellStyle name="Normal 5 2 4 3 3 3" xfId="5637" xr:uid="{00000000-0005-0000-0000-000002190000}"/>
    <cellStyle name="Normal 5 2 4 3 3 3 2" xfId="14066" xr:uid="{8FF05C26-2824-4E69-9EE2-F5F4C02EAB67}"/>
    <cellStyle name="Normal 5 2 4 3 3 3 3" xfId="22494" xr:uid="{0120122E-FBFD-4C43-B03B-4BC2034E43D8}"/>
    <cellStyle name="Normal 5 2 4 3 3 4" xfId="9848" xr:uid="{85C2FD47-FBCF-43E7-990E-9E026147910E}"/>
    <cellStyle name="Normal 5 2 4 3 3 5" xfId="18277" xr:uid="{5A1AE024-B952-48CD-8787-34D12F11918C}"/>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24" xr:uid="{37C3276C-596A-4E16-9F0F-1AE79FF2A5AB}"/>
    <cellStyle name="Normal 5 2 4 3 4 2 2 3" xfId="25052" xr:uid="{3250EF0E-0522-47AE-8A78-C3A208D73FE9}"/>
    <cellStyle name="Normal 5 2 4 3 4 2 3" xfId="12406" xr:uid="{5CFA0C42-3057-4999-B7FC-4BE250B29CFD}"/>
    <cellStyle name="Normal 5 2 4 3 4 2 4" xfId="20835" xr:uid="{4593FF06-572E-4FFD-98B9-C7897446B1B9}"/>
    <cellStyle name="Normal 5 2 4 3 4 3" xfId="6050" xr:uid="{00000000-0005-0000-0000-000006190000}"/>
    <cellStyle name="Normal 5 2 4 3 4 3 2" xfId="14479" xr:uid="{1600C27A-B8B8-4135-806D-9D545F307537}"/>
    <cellStyle name="Normal 5 2 4 3 4 3 3" xfId="22907" xr:uid="{EDB2DCF4-705F-42E0-AD6F-B5E80E964325}"/>
    <cellStyle name="Normal 5 2 4 3 4 4" xfId="10261" xr:uid="{DFBC09A2-8D05-4C0D-AE7A-C002FDE2F2AD}"/>
    <cellStyle name="Normal 5 2 4 3 4 5" xfId="18690" xr:uid="{14FC5371-8139-4642-AD81-8EDBCF2E1FE6}"/>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7" xr:uid="{1425E968-7611-41B4-AB52-8202F9029A2A}"/>
    <cellStyle name="Normal 5 2 4 3 5 2 2 3" xfId="25465" xr:uid="{35D82A14-8506-4C19-9347-4D1B3F2BA196}"/>
    <cellStyle name="Normal 5 2 4 3 5 2 3" xfId="12819" xr:uid="{995E1778-E28F-49A7-9710-3D6A43402A11}"/>
    <cellStyle name="Normal 5 2 4 3 5 2 4" xfId="21248" xr:uid="{A5B3ABCE-0801-4A83-B7AF-531967DBA2F9}"/>
    <cellStyle name="Normal 5 2 4 3 5 3" xfId="6463" xr:uid="{00000000-0005-0000-0000-00000A190000}"/>
    <cellStyle name="Normal 5 2 4 3 5 3 2" xfId="14892" xr:uid="{C7475F95-CF64-4507-8576-20D441A97C4A}"/>
    <cellStyle name="Normal 5 2 4 3 5 3 3" xfId="23320" xr:uid="{665F57AF-CA7E-415A-B4F9-01DF198842FC}"/>
    <cellStyle name="Normal 5 2 4 3 5 4" xfId="10674" xr:uid="{C14CC1E5-18B7-46CE-83F0-33FF629E94FC}"/>
    <cellStyle name="Normal 5 2 4 3 5 5" xfId="19103" xr:uid="{19799477-5D99-4A9F-A70B-8D37B0442227}"/>
    <cellStyle name="Normal 5 2 4 3 6" xfId="2591" xr:uid="{00000000-0005-0000-0000-00000B190000}"/>
    <cellStyle name="Normal 5 2 4 3 6 2" xfId="6876" xr:uid="{00000000-0005-0000-0000-00000C190000}"/>
    <cellStyle name="Normal 5 2 4 3 6 2 2" xfId="15305" xr:uid="{ABB9EE8B-988A-4F58-A44C-AD1E65600150}"/>
    <cellStyle name="Normal 5 2 4 3 6 2 3" xfId="23733" xr:uid="{75EC55DA-FC0D-45B0-956C-90015C51AF44}"/>
    <cellStyle name="Normal 5 2 4 3 6 3" xfId="11087" xr:uid="{50600341-31BD-4D68-81C6-6FF7A48108C0}"/>
    <cellStyle name="Normal 5 2 4 3 6 4" xfId="19516" xr:uid="{9469CA4D-47B5-43A0-AE5C-85879CD2BC85}"/>
    <cellStyle name="Normal 5 2 4 3 7" xfId="4811" xr:uid="{00000000-0005-0000-0000-00000D190000}"/>
    <cellStyle name="Normal 5 2 4 3 7 2" xfId="13240" xr:uid="{21A79743-7994-49A1-AE7E-184A2769E42E}"/>
    <cellStyle name="Normal 5 2 4 3 7 3" xfId="21668" xr:uid="{C1530A92-0284-4C87-90AA-45EB476448BC}"/>
    <cellStyle name="Normal 5 2 4 3 8" xfId="9022" xr:uid="{2EE9E145-2597-45E8-A680-A86C8A2C7073}"/>
    <cellStyle name="Normal 5 2 4 3 9" xfId="17451" xr:uid="{9E5A9DCA-D439-42E5-990F-A4F755DC1E10}"/>
    <cellStyle name="Normal 5 2 4 4" xfId="907" xr:uid="{00000000-0005-0000-0000-00000E190000}"/>
    <cellStyle name="Normal 5 2 4 4 2" xfId="3142" xr:uid="{00000000-0005-0000-0000-00000F190000}"/>
    <cellStyle name="Normal 5 2 4 4 2 2" xfId="7366" xr:uid="{00000000-0005-0000-0000-000010190000}"/>
    <cellStyle name="Normal 5 2 4 4 2 2 2" xfId="15795" xr:uid="{B67A1738-D54D-4BB4-AE37-8428A77CF55A}"/>
    <cellStyle name="Normal 5 2 4 4 2 2 3" xfId="24223" xr:uid="{574D117B-1E86-495F-B2D0-54CF16B76BE8}"/>
    <cellStyle name="Normal 5 2 4 4 2 3" xfId="11577" xr:uid="{AF2C7347-71CA-4793-AA16-A243E938309B}"/>
    <cellStyle name="Normal 5 2 4 4 2 4" xfId="20006" xr:uid="{06BB15DC-F020-4455-941E-D56F28A66F10}"/>
    <cellStyle name="Normal 5 2 4 4 3" xfId="5221" xr:uid="{00000000-0005-0000-0000-000011190000}"/>
    <cellStyle name="Normal 5 2 4 4 3 2" xfId="13650" xr:uid="{4302D0A2-8413-4248-946F-A28E3EB71623}"/>
    <cellStyle name="Normal 5 2 4 4 3 3" xfId="22078" xr:uid="{1173B17D-DA16-454E-95C3-6528844D241A}"/>
    <cellStyle name="Normal 5 2 4 4 4" xfId="9432" xr:uid="{CEA5CEB6-B41E-4B96-9F7F-4616EDBCD30D}"/>
    <cellStyle name="Normal 5 2 4 4 5" xfId="17861" xr:uid="{2212657F-606F-4772-B5C6-72F74E363098}"/>
    <cellStyle name="Normal 5 2 4 5" xfId="1325" xr:uid="{00000000-0005-0000-0000-000012190000}"/>
    <cellStyle name="Normal 5 2 4 5 2" xfId="3555" xr:uid="{00000000-0005-0000-0000-000013190000}"/>
    <cellStyle name="Normal 5 2 4 5 2 2" xfId="7779" xr:uid="{00000000-0005-0000-0000-000014190000}"/>
    <cellStyle name="Normal 5 2 4 5 2 2 2" xfId="16208" xr:uid="{FCB4B4E8-BD4C-4B49-94A7-1A86A35C6454}"/>
    <cellStyle name="Normal 5 2 4 5 2 2 3" xfId="24636" xr:uid="{86B6CFA4-3643-44DA-ACFA-469870DBBF9B}"/>
    <cellStyle name="Normal 5 2 4 5 2 3" xfId="11990" xr:uid="{ECD404F9-E5D4-4105-B4FE-CC3B33AD309F}"/>
    <cellStyle name="Normal 5 2 4 5 2 4" xfId="20419" xr:uid="{4C6C3444-44C0-4E90-BDC8-8727A63A77AC}"/>
    <cellStyle name="Normal 5 2 4 5 3" xfId="5634" xr:uid="{00000000-0005-0000-0000-000015190000}"/>
    <cellStyle name="Normal 5 2 4 5 3 2" xfId="14063" xr:uid="{B330E24B-CCF5-4975-9200-9161B431510F}"/>
    <cellStyle name="Normal 5 2 4 5 3 3" xfId="22491" xr:uid="{EF67F4E8-5A6B-48C8-9FA9-6A3587176547}"/>
    <cellStyle name="Normal 5 2 4 5 4" xfId="9845" xr:uid="{2147794B-83A1-4721-B761-CEA2EF7E5D2C}"/>
    <cellStyle name="Normal 5 2 4 5 5" xfId="18274" xr:uid="{3D564D15-0994-4A30-B9E4-9A3E4F892836}"/>
    <cellStyle name="Normal 5 2 4 6" xfId="1738" xr:uid="{00000000-0005-0000-0000-000016190000}"/>
    <cellStyle name="Normal 5 2 4 6 2" xfId="3968" xr:uid="{00000000-0005-0000-0000-000017190000}"/>
    <cellStyle name="Normal 5 2 4 6 2 2" xfId="8192" xr:uid="{00000000-0005-0000-0000-000018190000}"/>
    <cellStyle name="Normal 5 2 4 6 2 2 2" xfId="16621" xr:uid="{56F5A7F0-5BF4-4A33-88A9-7482681E2850}"/>
    <cellStyle name="Normal 5 2 4 6 2 2 3" xfId="25049" xr:uid="{26358EE8-D6A8-437B-BDE8-377A6A3D7E8C}"/>
    <cellStyle name="Normal 5 2 4 6 2 3" xfId="12403" xr:uid="{690DA63F-D20B-4BA0-98F5-FD942F6BDE32}"/>
    <cellStyle name="Normal 5 2 4 6 2 4" xfId="20832" xr:uid="{8B49A73C-75EB-4DF3-A4E5-00C50094658C}"/>
    <cellStyle name="Normal 5 2 4 6 3" xfId="6047" xr:uid="{00000000-0005-0000-0000-000019190000}"/>
    <cellStyle name="Normal 5 2 4 6 3 2" xfId="14476" xr:uid="{4486C514-66A3-4662-8EDF-877853432A45}"/>
    <cellStyle name="Normal 5 2 4 6 3 3" xfId="22904" xr:uid="{80A3145D-4F07-4F98-A978-132CDC0D4A06}"/>
    <cellStyle name="Normal 5 2 4 6 4" xfId="10258" xr:uid="{3CB70EC8-878E-4170-B643-01C6013AB084}"/>
    <cellStyle name="Normal 5 2 4 6 5" xfId="18687" xr:uid="{1BBD5734-A36B-41BB-B94B-CEE7968A9F00}"/>
    <cellStyle name="Normal 5 2 4 7" xfId="2152" xr:uid="{00000000-0005-0000-0000-00001A190000}"/>
    <cellStyle name="Normal 5 2 4 7 2" xfId="4381" xr:uid="{00000000-0005-0000-0000-00001B190000}"/>
    <cellStyle name="Normal 5 2 4 7 2 2" xfId="8605" xr:uid="{00000000-0005-0000-0000-00001C190000}"/>
    <cellStyle name="Normal 5 2 4 7 2 2 2" xfId="17034" xr:uid="{E5F58C5D-12C5-4B11-8ECF-30B3E0020A02}"/>
    <cellStyle name="Normal 5 2 4 7 2 2 3" xfId="25462" xr:uid="{99EF1397-20E0-4728-95EE-A1BB0DAA9A34}"/>
    <cellStyle name="Normal 5 2 4 7 2 3" xfId="12816" xr:uid="{7B012CF1-F294-482E-94D2-CCBF8D23C91E}"/>
    <cellStyle name="Normal 5 2 4 7 2 4" xfId="21245" xr:uid="{B6ED5CC6-146A-4C86-A26B-6CCB5F943B49}"/>
    <cellStyle name="Normal 5 2 4 7 3" xfId="6460" xr:uid="{00000000-0005-0000-0000-00001D190000}"/>
    <cellStyle name="Normal 5 2 4 7 3 2" xfId="14889" xr:uid="{4816C3F0-C8C1-4DC8-A117-11F0767C2F3D}"/>
    <cellStyle name="Normal 5 2 4 7 3 3" xfId="23317" xr:uid="{E053DD3A-73EE-406E-A2BC-E822857A1007}"/>
    <cellStyle name="Normal 5 2 4 7 4" xfId="10671" xr:uid="{3B35061C-BCC0-4A49-AA4C-ED9AB41D2EFF}"/>
    <cellStyle name="Normal 5 2 4 7 5" xfId="19100" xr:uid="{B8FAFE4E-A15A-47A8-B41F-F043972AE893}"/>
    <cellStyle name="Normal 5 2 4 8" xfId="2588" xr:uid="{00000000-0005-0000-0000-00001E190000}"/>
    <cellStyle name="Normal 5 2 4 8 2" xfId="6873" xr:uid="{00000000-0005-0000-0000-00001F190000}"/>
    <cellStyle name="Normal 5 2 4 8 2 2" xfId="15302" xr:uid="{1B25F4EB-B6F2-44DB-9208-97FD35FEA2C3}"/>
    <cellStyle name="Normal 5 2 4 8 2 3" xfId="23730" xr:uid="{26EF954F-7D50-430D-82B2-01992FB02577}"/>
    <cellStyle name="Normal 5 2 4 8 3" xfId="11084" xr:uid="{F64FDBE8-4870-4DC8-B3C3-5424F51F11FD}"/>
    <cellStyle name="Normal 5 2 4 8 4" xfId="19513" xr:uid="{5810883B-641B-431E-90BD-9E738BD0E54C}"/>
    <cellStyle name="Normal 5 2 4 9" xfId="4808" xr:uid="{00000000-0005-0000-0000-000020190000}"/>
    <cellStyle name="Normal 5 2 4 9 2" xfId="13237" xr:uid="{A1923FD0-61F9-4F83-826A-F9122FD13DAB}"/>
    <cellStyle name="Normal 5 2 4 9 3" xfId="21665" xr:uid="{B0C210FB-DB82-401C-966E-18DAF3711944}"/>
    <cellStyle name="Normal 5 2 5" xfId="436" xr:uid="{00000000-0005-0000-0000-000021190000}"/>
    <cellStyle name="Normal 5 2 5 10" xfId="17452" xr:uid="{97CF56BF-4FFE-41DC-9A5F-0AE3C2A7506C}"/>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800" xr:uid="{D33DDA40-E58C-4703-8D59-864224669ECE}"/>
    <cellStyle name="Normal 5 2 5 2 2 2 2 3" xfId="24228" xr:uid="{714C4FF8-FAFF-4034-9C84-608888D06FC1}"/>
    <cellStyle name="Normal 5 2 5 2 2 2 3" xfId="11582" xr:uid="{832D36C5-0257-4E97-857A-779044BC6034}"/>
    <cellStyle name="Normal 5 2 5 2 2 2 4" xfId="20011" xr:uid="{1B7BE1C3-63C3-4B20-AA36-DDF5C8976188}"/>
    <cellStyle name="Normal 5 2 5 2 2 3" xfId="5226" xr:uid="{00000000-0005-0000-0000-000026190000}"/>
    <cellStyle name="Normal 5 2 5 2 2 3 2" xfId="13655" xr:uid="{C1F45E01-8E99-4391-BA09-CB8D9A49089B}"/>
    <cellStyle name="Normal 5 2 5 2 2 3 3" xfId="22083" xr:uid="{49ED924C-D48C-4ED1-8BAD-AEC25F847257}"/>
    <cellStyle name="Normal 5 2 5 2 2 4" xfId="9437" xr:uid="{7489AC46-36F7-4477-AE7B-5368825A1027}"/>
    <cellStyle name="Normal 5 2 5 2 2 5" xfId="17866" xr:uid="{7D5C4C47-7871-4F19-B679-15B795C08FEC}"/>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13" xr:uid="{9E6560C3-9CCC-42D8-B45E-E0D971A10A31}"/>
    <cellStyle name="Normal 5 2 5 2 3 2 2 3" xfId="24641" xr:uid="{70D4E2C0-9640-40F3-91E6-0A320A690F0B}"/>
    <cellStyle name="Normal 5 2 5 2 3 2 3" xfId="11995" xr:uid="{92D849C6-D3FB-4B71-8918-69424295D4DD}"/>
    <cellStyle name="Normal 5 2 5 2 3 2 4" xfId="20424" xr:uid="{4F9041E8-A29B-41FC-8B64-E80AA5A64533}"/>
    <cellStyle name="Normal 5 2 5 2 3 3" xfId="5639" xr:uid="{00000000-0005-0000-0000-00002A190000}"/>
    <cellStyle name="Normal 5 2 5 2 3 3 2" xfId="14068" xr:uid="{654724E4-EEC4-4A9F-9E06-860A9F14424F}"/>
    <cellStyle name="Normal 5 2 5 2 3 3 3" xfId="22496" xr:uid="{1502C153-9A48-42B9-8348-A4BC4C5D90BF}"/>
    <cellStyle name="Normal 5 2 5 2 3 4" xfId="9850" xr:uid="{4051FAF8-FC13-4ADD-AB51-E3C83C624D6E}"/>
    <cellStyle name="Normal 5 2 5 2 3 5" xfId="18279" xr:uid="{BEAF8B84-0125-46CE-BC26-753E0EE621C4}"/>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26" xr:uid="{4A9E947A-1EC7-4067-AE3F-635E9FE16D8E}"/>
    <cellStyle name="Normal 5 2 5 2 4 2 2 3" xfId="25054" xr:uid="{3BCE3001-631E-43E9-9D98-F5AABA5356B2}"/>
    <cellStyle name="Normal 5 2 5 2 4 2 3" xfId="12408" xr:uid="{A7243970-1DF2-4F0E-B980-7190BDF342CF}"/>
    <cellStyle name="Normal 5 2 5 2 4 2 4" xfId="20837" xr:uid="{C4A410C3-98A0-46C2-8BC8-61024EF869B9}"/>
    <cellStyle name="Normal 5 2 5 2 4 3" xfId="6052" xr:uid="{00000000-0005-0000-0000-00002E190000}"/>
    <cellStyle name="Normal 5 2 5 2 4 3 2" xfId="14481" xr:uid="{137E5488-FEB8-44B5-95B7-80B42A5B1604}"/>
    <cellStyle name="Normal 5 2 5 2 4 3 3" xfId="22909" xr:uid="{431FD9DC-9ADE-49DB-B763-80BF958ABF5D}"/>
    <cellStyle name="Normal 5 2 5 2 4 4" xfId="10263" xr:uid="{44B7D97D-701D-4C35-9CAB-F0D5C6EEC16A}"/>
    <cellStyle name="Normal 5 2 5 2 4 5" xfId="18692" xr:uid="{18EE252C-F867-4D06-8C1E-3C9D4242AEDB}"/>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9" xr:uid="{7C99DFC3-976E-44E0-A730-5701666FDE97}"/>
    <cellStyle name="Normal 5 2 5 2 5 2 2 3" xfId="25467" xr:uid="{1A5834EA-DEF7-4756-B076-5CCB765C73E3}"/>
    <cellStyle name="Normal 5 2 5 2 5 2 3" xfId="12821" xr:uid="{43249B55-B578-44A4-8EFB-A007041C52BA}"/>
    <cellStyle name="Normal 5 2 5 2 5 2 4" xfId="21250" xr:uid="{B4C482A4-C992-40F3-8058-0900F61710DF}"/>
    <cellStyle name="Normal 5 2 5 2 5 3" xfId="6465" xr:uid="{00000000-0005-0000-0000-000032190000}"/>
    <cellStyle name="Normal 5 2 5 2 5 3 2" xfId="14894" xr:uid="{77E0964F-FE5C-4B79-BE34-9E69E258E291}"/>
    <cellStyle name="Normal 5 2 5 2 5 3 3" xfId="23322" xr:uid="{C4E139BD-E0BB-4B82-B339-FE1262712330}"/>
    <cellStyle name="Normal 5 2 5 2 5 4" xfId="10676" xr:uid="{E6D8065A-F8DB-4728-B646-88B05FBA26D3}"/>
    <cellStyle name="Normal 5 2 5 2 5 5" xfId="19105" xr:uid="{F6B3A1DA-310A-4622-80A7-6F978BD92AD6}"/>
    <cellStyle name="Normal 5 2 5 2 6" xfId="2593" xr:uid="{00000000-0005-0000-0000-000033190000}"/>
    <cellStyle name="Normal 5 2 5 2 6 2" xfId="6878" xr:uid="{00000000-0005-0000-0000-000034190000}"/>
    <cellStyle name="Normal 5 2 5 2 6 2 2" xfId="15307" xr:uid="{4E7F9A9A-5A5C-4519-AA70-DDE38B6AF71E}"/>
    <cellStyle name="Normal 5 2 5 2 6 2 3" xfId="23735" xr:uid="{0A95A0D2-EF5F-4D6F-A4B5-586D5C1C5F12}"/>
    <cellStyle name="Normal 5 2 5 2 6 3" xfId="11089" xr:uid="{C1D5063C-87DF-4E25-95A4-885F82B9B43C}"/>
    <cellStyle name="Normal 5 2 5 2 6 4" xfId="19518" xr:uid="{28333EEE-51A7-44C6-8AD3-BA963A0C857F}"/>
    <cellStyle name="Normal 5 2 5 2 7" xfId="4813" xr:uid="{00000000-0005-0000-0000-000035190000}"/>
    <cellStyle name="Normal 5 2 5 2 7 2" xfId="13242" xr:uid="{F889F67C-5598-4D28-B402-FF95561F311C}"/>
    <cellStyle name="Normal 5 2 5 2 7 3" xfId="21670" xr:uid="{4FE5B8E0-383D-4741-BDBB-A5DAD1D93B73}"/>
    <cellStyle name="Normal 5 2 5 2 8" xfId="9024" xr:uid="{174C06E3-D429-4601-8C48-FB9EAAA62EA0}"/>
    <cellStyle name="Normal 5 2 5 2 9" xfId="17453" xr:uid="{DF1DE384-0C0F-4613-99B2-63603DD81FF8}"/>
    <cellStyle name="Normal 5 2 5 3" xfId="911" xr:uid="{00000000-0005-0000-0000-000036190000}"/>
    <cellStyle name="Normal 5 2 5 3 2" xfId="3146" xr:uid="{00000000-0005-0000-0000-000037190000}"/>
    <cellStyle name="Normal 5 2 5 3 2 2" xfId="7370" xr:uid="{00000000-0005-0000-0000-000038190000}"/>
    <cellStyle name="Normal 5 2 5 3 2 2 2" xfId="15799" xr:uid="{76E0B86D-953B-4FBB-A2B1-B473FB31DEED}"/>
    <cellStyle name="Normal 5 2 5 3 2 2 3" xfId="24227" xr:uid="{DF5E0A57-1B4D-46B4-96B3-C115351191C1}"/>
    <cellStyle name="Normal 5 2 5 3 2 3" xfId="11581" xr:uid="{A8DA361F-A770-4A67-A71B-2696EC3AF37A}"/>
    <cellStyle name="Normal 5 2 5 3 2 4" xfId="20010" xr:uid="{AEF197BB-91EF-4A94-859A-48615E242903}"/>
    <cellStyle name="Normal 5 2 5 3 3" xfId="5225" xr:uid="{00000000-0005-0000-0000-000039190000}"/>
    <cellStyle name="Normal 5 2 5 3 3 2" xfId="13654" xr:uid="{02D64EB4-FE18-438A-B434-469F6DF65C3E}"/>
    <cellStyle name="Normal 5 2 5 3 3 3" xfId="22082" xr:uid="{BC6FF4B9-FEA3-4A4D-AB6B-DB65BC7628A1}"/>
    <cellStyle name="Normal 5 2 5 3 4" xfId="9436" xr:uid="{7A6498C1-A270-4AD1-8385-47DB0AB26512}"/>
    <cellStyle name="Normal 5 2 5 3 5" xfId="17865" xr:uid="{2F385637-D5CC-4CBB-B1F5-C819A477DF02}"/>
    <cellStyle name="Normal 5 2 5 4" xfId="1329" xr:uid="{00000000-0005-0000-0000-00003A190000}"/>
    <cellStyle name="Normal 5 2 5 4 2" xfId="3559" xr:uid="{00000000-0005-0000-0000-00003B190000}"/>
    <cellStyle name="Normal 5 2 5 4 2 2" xfId="7783" xr:uid="{00000000-0005-0000-0000-00003C190000}"/>
    <cellStyle name="Normal 5 2 5 4 2 2 2" xfId="16212" xr:uid="{BA3DF3CB-0F6B-4CA6-A5B7-BA8572F26DC2}"/>
    <cellStyle name="Normal 5 2 5 4 2 2 3" xfId="24640" xr:uid="{90A1A074-D75D-471E-BA09-3A544DBD7795}"/>
    <cellStyle name="Normal 5 2 5 4 2 3" xfId="11994" xr:uid="{712B7A12-B5AC-4B81-9C11-CC5D5235C383}"/>
    <cellStyle name="Normal 5 2 5 4 2 4" xfId="20423" xr:uid="{25EC3850-5AAF-44BC-B842-8EF7B4724270}"/>
    <cellStyle name="Normal 5 2 5 4 3" xfId="5638" xr:uid="{00000000-0005-0000-0000-00003D190000}"/>
    <cellStyle name="Normal 5 2 5 4 3 2" xfId="14067" xr:uid="{170F3E1F-B6E3-4052-8FED-1A3340824E6A}"/>
    <cellStyle name="Normal 5 2 5 4 3 3" xfId="22495" xr:uid="{09A02665-145F-413F-B707-500063151C83}"/>
    <cellStyle name="Normal 5 2 5 4 4" xfId="9849" xr:uid="{A5B572AE-C9B8-4B63-93CC-04780C36D2EC}"/>
    <cellStyle name="Normal 5 2 5 4 5" xfId="18278" xr:uid="{66723967-8AA5-487B-830F-D18AB7EE26A3}"/>
    <cellStyle name="Normal 5 2 5 5" xfId="1742" xr:uid="{00000000-0005-0000-0000-00003E190000}"/>
    <cellStyle name="Normal 5 2 5 5 2" xfId="3972" xr:uid="{00000000-0005-0000-0000-00003F190000}"/>
    <cellStyle name="Normal 5 2 5 5 2 2" xfId="8196" xr:uid="{00000000-0005-0000-0000-000040190000}"/>
    <cellStyle name="Normal 5 2 5 5 2 2 2" xfId="16625" xr:uid="{E4FAAFF3-F794-49B5-8A88-A8C18433C1C0}"/>
    <cellStyle name="Normal 5 2 5 5 2 2 3" xfId="25053" xr:uid="{03366FE6-AFA8-4954-B239-E0243E394458}"/>
    <cellStyle name="Normal 5 2 5 5 2 3" xfId="12407" xr:uid="{EE04C373-3C5F-46C3-B886-5D73018B1FC9}"/>
    <cellStyle name="Normal 5 2 5 5 2 4" xfId="20836" xr:uid="{E10190B2-526F-4E52-A4BB-0D76175B4C76}"/>
    <cellStyle name="Normal 5 2 5 5 3" xfId="6051" xr:uid="{00000000-0005-0000-0000-000041190000}"/>
    <cellStyle name="Normal 5 2 5 5 3 2" xfId="14480" xr:uid="{8DE8E5AA-CF0C-4D3E-B9EB-9109C6E1DB59}"/>
    <cellStyle name="Normal 5 2 5 5 3 3" xfId="22908" xr:uid="{1524CF9E-8CA2-4445-A967-8CAA2FA645C6}"/>
    <cellStyle name="Normal 5 2 5 5 4" xfId="10262" xr:uid="{958BA91B-1D42-401E-861C-BE25D4E50658}"/>
    <cellStyle name="Normal 5 2 5 5 5" xfId="18691" xr:uid="{B856A1DB-698B-4B10-8B27-6377BC9A5CEE}"/>
    <cellStyle name="Normal 5 2 5 6" xfId="2156" xr:uid="{00000000-0005-0000-0000-000042190000}"/>
    <cellStyle name="Normal 5 2 5 6 2" xfId="4385" xr:uid="{00000000-0005-0000-0000-000043190000}"/>
    <cellStyle name="Normal 5 2 5 6 2 2" xfId="8609" xr:uid="{00000000-0005-0000-0000-000044190000}"/>
    <cellStyle name="Normal 5 2 5 6 2 2 2" xfId="17038" xr:uid="{A22318C3-0A2D-4A55-A68F-A296BFE27989}"/>
    <cellStyle name="Normal 5 2 5 6 2 2 3" xfId="25466" xr:uid="{51FCF484-8B30-4EA8-959D-5A8F24E7F3F5}"/>
    <cellStyle name="Normal 5 2 5 6 2 3" xfId="12820" xr:uid="{088B5B80-66D0-48F8-8A8A-83CB1D5AD20D}"/>
    <cellStyle name="Normal 5 2 5 6 2 4" xfId="21249" xr:uid="{F8CD3FCD-2D60-4661-B20E-3533E3BE69D0}"/>
    <cellStyle name="Normal 5 2 5 6 3" xfId="6464" xr:uid="{00000000-0005-0000-0000-000045190000}"/>
    <cellStyle name="Normal 5 2 5 6 3 2" xfId="14893" xr:uid="{1A002B77-0E12-48FC-AC82-F7D06E1CD9E9}"/>
    <cellStyle name="Normal 5 2 5 6 3 3" xfId="23321" xr:uid="{497E7335-E57C-4231-B83E-C393797C1B88}"/>
    <cellStyle name="Normal 5 2 5 6 4" xfId="10675" xr:uid="{1B8D5D6B-5DA6-4F29-AB02-C8AA42417BA0}"/>
    <cellStyle name="Normal 5 2 5 6 5" xfId="19104" xr:uid="{1126F049-259C-41DF-BCA7-F1686A78E74A}"/>
    <cellStyle name="Normal 5 2 5 7" xfId="2592" xr:uid="{00000000-0005-0000-0000-000046190000}"/>
    <cellStyle name="Normal 5 2 5 7 2" xfId="6877" xr:uid="{00000000-0005-0000-0000-000047190000}"/>
    <cellStyle name="Normal 5 2 5 7 2 2" xfId="15306" xr:uid="{80FEA149-3A52-40D6-9DA1-3C80CF4ECD85}"/>
    <cellStyle name="Normal 5 2 5 7 2 3" xfId="23734" xr:uid="{B0C2C70E-CC9E-4145-9243-705BBC63E8B9}"/>
    <cellStyle name="Normal 5 2 5 7 3" xfId="11088" xr:uid="{6BF807B7-2A3C-46E3-96BD-19CAACE9277D}"/>
    <cellStyle name="Normal 5 2 5 7 4" xfId="19517" xr:uid="{7C28E597-B0CE-4D58-BE8B-B0A1C744EC65}"/>
    <cellStyle name="Normal 5 2 5 8" xfId="4812" xr:uid="{00000000-0005-0000-0000-000048190000}"/>
    <cellStyle name="Normal 5 2 5 8 2" xfId="13241" xr:uid="{2FB133B9-A5D1-4A0F-9FC9-8C83FCD3FA69}"/>
    <cellStyle name="Normal 5 2 5 8 3" xfId="21669" xr:uid="{147377BC-6ECE-4D6C-BD90-84758AA1C498}"/>
    <cellStyle name="Normal 5 2 5 9" xfId="9023" xr:uid="{2DE8C3AD-0B8D-4B83-B72F-390F44361D7D}"/>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801" xr:uid="{FEC60147-9C34-4394-AC2D-8A238282EBBD}"/>
    <cellStyle name="Normal 5 2 6 2 2 2 3" xfId="24229" xr:uid="{A8C579E4-1AE9-4865-A88C-C812CC2722C4}"/>
    <cellStyle name="Normal 5 2 6 2 2 3" xfId="11583" xr:uid="{C903AB8E-531C-4DFB-80DF-789F0441F997}"/>
    <cellStyle name="Normal 5 2 6 2 2 4" xfId="20012" xr:uid="{664344A4-ED75-42F4-BD06-B0EA07D9884B}"/>
    <cellStyle name="Normal 5 2 6 2 3" xfId="5227" xr:uid="{00000000-0005-0000-0000-00004D190000}"/>
    <cellStyle name="Normal 5 2 6 2 3 2" xfId="13656" xr:uid="{F1D7D886-FCC1-4485-8FEC-1FAB928C15FA}"/>
    <cellStyle name="Normal 5 2 6 2 3 3" xfId="22084" xr:uid="{B1B5CF19-4F99-4C94-BD4F-37FDBAB80CAC}"/>
    <cellStyle name="Normal 5 2 6 2 4" xfId="9438" xr:uid="{0247C636-741F-4E88-93F0-6099D5178536}"/>
    <cellStyle name="Normal 5 2 6 2 5" xfId="17867" xr:uid="{956907B6-9872-45AF-8BCE-F883CF10F477}"/>
    <cellStyle name="Normal 5 2 6 3" xfId="1331" xr:uid="{00000000-0005-0000-0000-00004E190000}"/>
    <cellStyle name="Normal 5 2 6 3 2" xfId="3561" xr:uid="{00000000-0005-0000-0000-00004F190000}"/>
    <cellStyle name="Normal 5 2 6 3 2 2" xfId="7785" xr:uid="{00000000-0005-0000-0000-000050190000}"/>
    <cellStyle name="Normal 5 2 6 3 2 2 2" xfId="16214" xr:uid="{E1844590-B015-46C7-9CF2-1A9BFE2AFC57}"/>
    <cellStyle name="Normal 5 2 6 3 2 2 3" xfId="24642" xr:uid="{2C154658-FBED-43BA-8200-8EF8E7A6B4CB}"/>
    <cellStyle name="Normal 5 2 6 3 2 3" xfId="11996" xr:uid="{E0C61553-A97E-471D-81A1-35F4213A3E09}"/>
    <cellStyle name="Normal 5 2 6 3 2 4" xfId="20425" xr:uid="{74220F25-A627-4858-8619-BAA16C1F015B}"/>
    <cellStyle name="Normal 5 2 6 3 3" xfId="5640" xr:uid="{00000000-0005-0000-0000-000051190000}"/>
    <cellStyle name="Normal 5 2 6 3 3 2" xfId="14069" xr:uid="{00EE0048-E71B-4813-9E65-D33B4770F832}"/>
    <cellStyle name="Normal 5 2 6 3 3 3" xfId="22497" xr:uid="{FDDAB145-4F69-4AD2-9CFB-39B21FE2D609}"/>
    <cellStyle name="Normal 5 2 6 3 4" xfId="9851" xr:uid="{8DE35E60-8688-4EB0-B1C9-CD7DDEF5050A}"/>
    <cellStyle name="Normal 5 2 6 3 5" xfId="18280" xr:uid="{A99E9E4B-DA81-47DA-AA66-647886EA0EC4}"/>
    <cellStyle name="Normal 5 2 6 4" xfId="1744" xr:uid="{00000000-0005-0000-0000-000052190000}"/>
    <cellStyle name="Normal 5 2 6 4 2" xfId="3974" xr:uid="{00000000-0005-0000-0000-000053190000}"/>
    <cellStyle name="Normal 5 2 6 4 2 2" xfId="8198" xr:uid="{00000000-0005-0000-0000-000054190000}"/>
    <cellStyle name="Normal 5 2 6 4 2 2 2" xfId="16627" xr:uid="{EF3E8C46-9D49-4AF9-A69F-1E5BC09303C0}"/>
    <cellStyle name="Normal 5 2 6 4 2 2 3" xfId="25055" xr:uid="{3A354A05-802D-4827-AFC3-4E4AC17686E9}"/>
    <cellStyle name="Normal 5 2 6 4 2 3" xfId="12409" xr:uid="{6A51F598-637E-411C-B403-025B515F1402}"/>
    <cellStyle name="Normal 5 2 6 4 2 4" xfId="20838" xr:uid="{D35DF4AE-86F3-47DE-A70E-3620BB487398}"/>
    <cellStyle name="Normal 5 2 6 4 3" xfId="6053" xr:uid="{00000000-0005-0000-0000-000055190000}"/>
    <cellStyle name="Normal 5 2 6 4 3 2" xfId="14482" xr:uid="{FDD45703-F80A-4B9B-8D95-33DD4B4DC5D6}"/>
    <cellStyle name="Normal 5 2 6 4 3 3" xfId="22910" xr:uid="{527E9DEE-E5F1-44F7-80A6-A924FB01A0A6}"/>
    <cellStyle name="Normal 5 2 6 4 4" xfId="10264" xr:uid="{5A4631F2-E0BF-433C-8556-FAFACDF7913B}"/>
    <cellStyle name="Normal 5 2 6 4 5" xfId="18693" xr:uid="{491D3BB3-FEEB-476A-AD61-93F1C9AB9368}"/>
    <cellStyle name="Normal 5 2 6 5" xfId="2158" xr:uid="{00000000-0005-0000-0000-000056190000}"/>
    <cellStyle name="Normal 5 2 6 5 2" xfId="4387" xr:uid="{00000000-0005-0000-0000-000057190000}"/>
    <cellStyle name="Normal 5 2 6 5 2 2" xfId="8611" xr:uid="{00000000-0005-0000-0000-000058190000}"/>
    <cellStyle name="Normal 5 2 6 5 2 2 2" xfId="17040" xr:uid="{913C22D5-F9D6-48C8-A7C7-F2357074C7EA}"/>
    <cellStyle name="Normal 5 2 6 5 2 2 3" xfId="25468" xr:uid="{14FA7645-2794-4A3F-89E4-68EA55A9D75D}"/>
    <cellStyle name="Normal 5 2 6 5 2 3" xfId="12822" xr:uid="{2868BEF8-5785-42C2-9D60-A00BC53A122F}"/>
    <cellStyle name="Normal 5 2 6 5 2 4" xfId="21251" xr:uid="{35A49F31-E246-4381-B99C-85F591181E2F}"/>
    <cellStyle name="Normal 5 2 6 5 3" xfId="6466" xr:uid="{00000000-0005-0000-0000-000059190000}"/>
    <cellStyle name="Normal 5 2 6 5 3 2" xfId="14895" xr:uid="{AE0FD478-B4FD-46A9-8FAD-7DE093C72554}"/>
    <cellStyle name="Normal 5 2 6 5 3 3" xfId="23323" xr:uid="{30B78B42-11D8-4CFE-819F-5AAA3278912D}"/>
    <cellStyle name="Normal 5 2 6 5 4" xfId="10677" xr:uid="{277BDE00-8A17-4036-8A98-54D8CE06EFFA}"/>
    <cellStyle name="Normal 5 2 6 5 5" xfId="19106" xr:uid="{9EE3D4B4-DADB-4DB1-B6DC-BCB6A067C510}"/>
    <cellStyle name="Normal 5 2 6 6" xfId="2594" xr:uid="{00000000-0005-0000-0000-00005A190000}"/>
    <cellStyle name="Normal 5 2 6 6 2" xfId="6879" xr:uid="{00000000-0005-0000-0000-00005B190000}"/>
    <cellStyle name="Normal 5 2 6 6 2 2" xfId="15308" xr:uid="{47724DB2-BAEE-4A2D-A605-587D6217CCC2}"/>
    <cellStyle name="Normal 5 2 6 6 2 3" xfId="23736" xr:uid="{906C151A-5ED7-42A3-8A2B-049E16C875B5}"/>
    <cellStyle name="Normal 5 2 6 6 3" xfId="11090" xr:uid="{92AF669C-294F-4A57-B1A7-99EBE34C0E3F}"/>
    <cellStyle name="Normal 5 2 6 6 4" xfId="19519" xr:uid="{73DEFE23-5142-4029-A8BF-147F4C2CF4E7}"/>
    <cellStyle name="Normal 5 2 6 7" xfId="4814" xr:uid="{00000000-0005-0000-0000-00005C190000}"/>
    <cellStyle name="Normal 5 2 6 7 2" xfId="13243" xr:uid="{3728A1D2-D932-41FF-A690-DF2F46C22EC0}"/>
    <cellStyle name="Normal 5 2 6 7 3" xfId="21671" xr:uid="{A52009D8-92BB-4D84-975F-48A33D53C236}"/>
    <cellStyle name="Normal 5 2 6 8" xfId="9025" xr:uid="{3FEFDEF9-846A-455A-A9E5-70E27608C1A1}"/>
    <cellStyle name="Normal 5 2 6 9" xfId="17454" xr:uid="{317B449C-C2A3-48F5-B4DE-859BC85E749D}"/>
    <cellStyle name="Normal 5 2 7" xfId="882" xr:uid="{00000000-0005-0000-0000-00005D190000}"/>
    <cellStyle name="Normal 5 2 7 2" xfId="3117" xr:uid="{00000000-0005-0000-0000-00005E190000}"/>
    <cellStyle name="Normal 5 2 7 2 2" xfId="7341" xr:uid="{00000000-0005-0000-0000-00005F190000}"/>
    <cellStyle name="Normal 5 2 7 2 2 2" xfId="15770" xr:uid="{B7BDBE26-834F-41B7-A030-DC8690E42EF5}"/>
    <cellStyle name="Normal 5 2 7 2 2 3" xfId="24198" xr:uid="{AB6BC8DE-6E63-4D43-B366-B4F80E67787A}"/>
    <cellStyle name="Normal 5 2 7 2 3" xfId="11552" xr:uid="{70E2239C-AC99-4E8A-A988-DC655C7D74AE}"/>
    <cellStyle name="Normal 5 2 7 2 4" xfId="19981" xr:uid="{49F0DD7D-4D17-4570-92BE-7DCFAE074497}"/>
    <cellStyle name="Normal 5 2 7 3" xfId="5196" xr:uid="{00000000-0005-0000-0000-000060190000}"/>
    <cellStyle name="Normal 5 2 7 3 2" xfId="13625" xr:uid="{18CF9343-52CB-4D38-AD1E-B644B6BE1A64}"/>
    <cellStyle name="Normal 5 2 7 3 3" xfId="22053" xr:uid="{B4259E8C-B8F7-4803-ADAB-163D3879D078}"/>
    <cellStyle name="Normal 5 2 7 4" xfId="9407" xr:uid="{8EEBB901-B96E-4CE1-AAF8-1DD6B5F6316C}"/>
    <cellStyle name="Normal 5 2 7 5" xfId="17836" xr:uid="{28FCEADB-1CC6-418A-8F11-EF5BB48CC5AD}"/>
    <cellStyle name="Normal 5 2 8" xfId="1300" xr:uid="{00000000-0005-0000-0000-000061190000}"/>
    <cellStyle name="Normal 5 2 8 2" xfId="3530" xr:uid="{00000000-0005-0000-0000-000062190000}"/>
    <cellStyle name="Normal 5 2 8 2 2" xfId="7754" xr:uid="{00000000-0005-0000-0000-000063190000}"/>
    <cellStyle name="Normal 5 2 8 2 2 2" xfId="16183" xr:uid="{0CC96F55-7511-4131-BBEE-EF41E9319B58}"/>
    <cellStyle name="Normal 5 2 8 2 2 3" xfId="24611" xr:uid="{252FD7CB-57A4-490D-B150-90B9A2EC115E}"/>
    <cellStyle name="Normal 5 2 8 2 3" xfId="11965" xr:uid="{85DE3907-76FA-4C65-A6CC-76EEAEE78AC3}"/>
    <cellStyle name="Normal 5 2 8 2 4" xfId="20394" xr:uid="{0B692998-262B-444F-8671-DB95ED6E47BB}"/>
    <cellStyle name="Normal 5 2 8 3" xfId="5609" xr:uid="{00000000-0005-0000-0000-000064190000}"/>
    <cellStyle name="Normal 5 2 8 3 2" xfId="14038" xr:uid="{28B010A9-3047-474C-9641-BB7E3F57BDA8}"/>
    <cellStyle name="Normal 5 2 8 3 3" xfId="22466" xr:uid="{E42DCA55-0106-4B92-9B31-68F7552B746A}"/>
    <cellStyle name="Normal 5 2 8 4" xfId="9820" xr:uid="{48277872-E91C-4307-9A08-E9F9599CD4BD}"/>
    <cellStyle name="Normal 5 2 8 5" xfId="18249" xr:uid="{A1D1C28F-6824-41E5-919C-E32E60BA00DA}"/>
    <cellStyle name="Normal 5 2 9" xfId="1713" xr:uid="{00000000-0005-0000-0000-000065190000}"/>
    <cellStyle name="Normal 5 2 9 2" xfId="3943" xr:uid="{00000000-0005-0000-0000-000066190000}"/>
    <cellStyle name="Normal 5 2 9 2 2" xfId="8167" xr:uid="{00000000-0005-0000-0000-000067190000}"/>
    <cellStyle name="Normal 5 2 9 2 2 2" xfId="16596" xr:uid="{6AF8E98D-DE33-41A1-A335-8D652E582AF4}"/>
    <cellStyle name="Normal 5 2 9 2 2 3" xfId="25024" xr:uid="{52AFDC93-9648-4605-BC9C-3F248587DAAC}"/>
    <cellStyle name="Normal 5 2 9 2 3" xfId="12378" xr:uid="{1CE646DE-3A81-4B18-8F94-D2288FAC4239}"/>
    <cellStyle name="Normal 5 2 9 2 4" xfId="20807" xr:uid="{FCBA655B-BE0E-4DA8-852C-45A18F75FB24}"/>
    <cellStyle name="Normal 5 2 9 3" xfId="6022" xr:uid="{00000000-0005-0000-0000-000068190000}"/>
    <cellStyle name="Normal 5 2 9 3 2" xfId="14451" xr:uid="{7B9C238D-E925-432D-A7ED-59E7E44836AF}"/>
    <cellStyle name="Normal 5 2 9 3 3" xfId="22879" xr:uid="{83409B87-251F-4CCD-807A-1C90EE1DC909}"/>
    <cellStyle name="Normal 5 2 9 4" xfId="10233" xr:uid="{19E34F0A-8708-4D3E-B985-922DF4AC480F}"/>
    <cellStyle name="Normal 5 2 9 5" xfId="18662" xr:uid="{086CFE45-B172-4D39-944F-8FE8F05EB904}"/>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41" xr:uid="{4A1B50EC-E1A2-46B4-A5EA-264AC00B6F8E}"/>
    <cellStyle name="Normal 5 3 10 2 2 3" xfId="25469" xr:uid="{C4D51404-8223-4AF4-915F-01006A56439F}"/>
    <cellStyle name="Normal 5 3 10 2 3" xfId="12823" xr:uid="{C141C476-A81A-478C-ACC1-BCAD3B014670}"/>
    <cellStyle name="Normal 5 3 10 2 4" xfId="21252" xr:uid="{C5399A11-3FE8-4234-B64C-5692D22DD4E2}"/>
    <cellStyle name="Normal 5 3 10 3" xfId="6467" xr:uid="{00000000-0005-0000-0000-00006D190000}"/>
    <cellStyle name="Normal 5 3 10 3 2" xfId="14896" xr:uid="{0C9370B5-70D1-4B06-83A3-E2065D6F45F0}"/>
    <cellStyle name="Normal 5 3 10 3 3" xfId="23324" xr:uid="{2ECDB93B-BB75-493C-A6AC-EE1F87AF1118}"/>
    <cellStyle name="Normal 5 3 10 4" xfId="10678" xr:uid="{F9E7E2C3-DB7B-43E5-A3AB-E8354BA48804}"/>
    <cellStyle name="Normal 5 3 10 5" xfId="19107" xr:uid="{9F916F30-52F9-4EDD-A72D-5EEAD0064A58}"/>
    <cellStyle name="Normal 5 3 11" xfId="2595" xr:uid="{00000000-0005-0000-0000-00006E190000}"/>
    <cellStyle name="Normal 5 3 11 2" xfId="6880" xr:uid="{00000000-0005-0000-0000-00006F190000}"/>
    <cellStyle name="Normal 5 3 11 2 2" xfId="15309" xr:uid="{A0CFBC30-1DB2-44DC-BAB4-97ADDA21E809}"/>
    <cellStyle name="Normal 5 3 11 2 3" xfId="23737" xr:uid="{0716340E-1173-4E56-AF02-481A78894DFC}"/>
    <cellStyle name="Normal 5 3 11 3" xfId="11091" xr:uid="{EFE88AE9-F391-432E-92D2-8AE53BBBB47C}"/>
    <cellStyle name="Normal 5 3 11 4" xfId="19520" xr:uid="{DABA5B51-6974-4A7E-B468-80586B65EBB1}"/>
    <cellStyle name="Normal 5 3 12" xfId="4815" xr:uid="{00000000-0005-0000-0000-000070190000}"/>
    <cellStyle name="Normal 5 3 12 2" xfId="13244" xr:uid="{940D2CF8-30C9-41BA-80A2-2207F45207DB}"/>
    <cellStyle name="Normal 5 3 12 3" xfId="21672" xr:uid="{A52CD16A-923E-40E1-9D5E-F065AB312443}"/>
    <cellStyle name="Normal 5 3 13" xfId="9026" xr:uid="{D944C8DA-9907-4735-9E92-715647ABE2B6}"/>
    <cellStyle name="Normal 5 3 14" xfId="17455" xr:uid="{CFD75541-7926-4E59-A5F8-0341BBA35585}"/>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45" xr:uid="{A81F7533-BB5E-4B5D-B275-0FE575E89D18}"/>
    <cellStyle name="Normal 5 3 3 10 3" xfId="21673" xr:uid="{23944E1C-4673-4386-B194-924CE8F74F98}"/>
    <cellStyle name="Normal 5 3 3 11" xfId="9027" xr:uid="{294EB76B-ACBE-4058-8415-C994E8171247}"/>
    <cellStyle name="Normal 5 3 3 12" xfId="17456" xr:uid="{6457EB3B-C915-488C-81A6-D7F47A853F64}"/>
    <cellStyle name="Normal 5 3 3 2" xfId="442" xr:uid="{00000000-0005-0000-0000-000075190000}"/>
    <cellStyle name="Normal 5 3 3 2 10" xfId="9028" xr:uid="{505748CA-6226-444E-9A21-D5A2B92DD4D5}"/>
    <cellStyle name="Normal 5 3 3 2 11" xfId="17457" xr:uid="{68098DCD-D298-4821-9577-707CF36B52C3}"/>
    <cellStyle name="Normal 5 3 3 2 2" xfId="443" xr:uid="{00000000-0005-0000-0000-000076190000}"/>
    <cellStyle name="Normal 5 3 3 2 2 10" xfId="17458" xr:uid="{60D448F4-0273-4752-81C1-3796834308FD}"/>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806" xr:uid="{0ECAC2C9-0BFB-44B5-B1ED-4A5A5E2DD837}"/>
    <cellStyle name="Normal 5 3 3 2 2 2 2 2 2 3" xfId="24234" xr:uid="{3BC9830C-8A86-426A-9F25-2AE0764750DC}"/>
    <cellStyle name="Normal 5 3 3 2 2 2 2 2 3" xfId="11588" xr:uid="{7B6BB3C1-2D70-4FC8-AEF7-06BA7C319B3E}"/>
    <cellStyle name="Normal 5 3 3 2 2 2 2 2 4" xfId="20017" xr:uid="{BC28BA86-2400-4583-83D4-BCE3D2DC401D}"/>
    <cellStyle name="Normal 5 3 3 2 2 2 2 3" xfId="5232" xr:uid="{00000000-0005-0000-0000-00007B190000}"/>
    <cellStyle name="Normal 5 3 3 2 2 2 2 3 2" xfId="13661" xr:uid="{154B9B11-2F6B-4F2C-8CFF-539897296D4D}"/>
    <cellStyle name="Normal 5 3 3 2 2 2 2 3 3" xfId="22089" xr:uid="{DC97F617-49C8-4254-9650-1CDD0BC64DD3}"/>
    <cellStyle name="Normal 5 3 3 2 2 2 2 4" xfId="9443" xr:uid="{A120BA00-4BF2-450F-8B1E-BC687956DF2E}"/>
    <cellStyle name="Normal 5 3 3 2 2 2 2 5" xfId="17872" xr:uid="{68FC6A9F-C0C9-472D-B7B5-610A931974D3}"/>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9" xr:uid="{910B34F6-85D2-4043-ACE1-482C989EC470}"/>
    <cellStyle name="Normal 5 3 3 2 2 2 3 2 2 3" xfId="24647" xr:uid="{831BFAFB-AF2A-44EB-97B2-15942A85FFBF}"/>
    <cellStyle name="Normal 5 3 3 2 2 2 3 2 3" xfId="12001" xr:uid="{F671DD72-1FEB-41C0-A25C-942240CFA994}"/>
    <cellStyle name="Normal 5 3 3 2 2 2 3 2 4" xfId="20430" xr:uid="{0C8A7B29-E771-43DC-8C90-7412A20D636A}"/>
    <cellStyle name="Normal 5 3 3 2 2 2 3 3" xfId="5645" xr:uid="{00000000-0005-0000-0000-00007F190000}"/>
    <cellStyle name="Normal 5 3 3 2 2 2 3 3 2" xfId="14074" xr:uid="{95F533F2-B8C0-4855-B934-43A767182715}"/>
    <cellStyle name="Normal 5 3 3 2 2 2 3 3 3" xfId="22502" xr:uid="{ABCC8339-4507-4768-AD0D-4B0032CB4A53}"/>
    <cellStyle name="Normal 5 3 3 2 2 2 3 4" xfId="9856" xr:uid="{694C6B05-5A56-44F2-98CE-0CE66A2B3758}"/>
    <cellStyle name="Normal 5 3 3 2 2 2 3 5" xfId="18285" xr:uid="{162DBFE3-ACB0-483A-93DF-8961535A3CF9}"/>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32" xr:uid="{D494F1A8-36C8-45A7-B34F-6D3A0F5BF16F}"/>
    <cellStyle name="Normal 5 3 3 2 2 2 4 2 2 3" xfId="25060" xr:uid="{43C6AC3D-C6E7-40B8-940E-DB54AFD30223}"/>
    <cellStyle name="Normal 5 3 3 2 2 2 4 2 3" xfId="12414" xr:uid="{8FD764B1-B13F-4376-A942-63740F5279A3}"/>
    <cellStyle name="Normal 5 3 3 2 2 2 4 2 4" xfId="20843" xr:uid="{213211AE-FF37-4ADB-9213-BC255A00D95F}"/>
    <cellStyle name="Normal 5 3 3 2 2 2 4 3" xfId="6058" xr:uid="{00000000-0005-0000-0000-000083190000}"/>
    <cellStyle name="Normal 5 3 3 2 2 2 4 3 2" xfId="14487" xr:uid="{C1444D1E-2009-4D19-82FB-78C3796DCF85}"/>
    <cellStyle name="Normal 5 3 3 2 2 2 4 3 3" xfId="22915" xr:uid="{260ED9B0-6309-4569-B8A4-6373128D204C}"/>
    <cellStyle name="Normal 5 3 3 2 2 2 4 4" xfId="10269" xr:uid="{780ABF47-852D-42FC-B673-009BBBFB5C0B}"/>
    <cellStyle name="Normal 5 3 3 2 2 2 4 5" xfId="18698" xr:uid="{31F6DDE0-F6BE-4BBF-8750-301E6D6FD183}"/>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45" xr:uid="{C684E5DF-F670-44EC-95A6-A84351297432}"/>
    <cellStyle name="Normal 5 3 3 2 2 2 5 2 2 3" xfId="25473" xr:uid="{AD4EC37A-EB93-4587-9526-8949E9645F11}"/>
    <cellStyle name="Normal 5 3 3 2 2 2 5 2 3" xfId="12827" xr:uid="{2E5D4F31-036F-4755-A117-CBCE403AF206}"/>
    <cellStyle name="Normal 5 3 3 2 2 2 5 2 4" xfId="21256" xr:uid="{68FE9838-409D-497C-A86C-7EDEEFDDB468}"/>
    <cellStyle name="Normal 5 3 3 2 2 2 5 3" xfId="6471" xr:uid="{00000000-0005-0000-0000-000087190000}"/>
    <cellStyle name="Normal 5 3 3 2 2 2 5 3 2" xfId="14900" xr:uid="{3708C766-941A-45DA-B22C-31C28566DEB1}"/>
    <cellStyle name="Normal 5 3 3 2 2 2 5 3 3" xfId="23328" xr:uid="{A41D5C08-017E-4000-AA6A-831AA581B19F}"/>
    <cellStyle name="Normal 5 3 3 2 2 2 5 4" xfId="10682" xr:uid="{2EC0C0BF-110B-472F-BF17-E9ED82FF7503}"/>
    <cellStyle name="Normal 5 3 3 2 2 2 5 5" xfId="19111" xr:uid="{2D2197CE-9DB0-4459-BB86-B304AFD8B1DB}"/>
    <cellStyle name="Normal 5 3 3 2 2 2 6" xfId="2599" xr:uid="{00000000-0005-0000-0000-000088190000}"/>
    <cellStyle name="Normal 5 3 3 2 2 2 6 2" xfId="6884" xr:uid="{00000000-0005-0000-0000-000089190000}"/>
    <cellStyle name="Normal 5 3 3 2 2 2 6 2 2" xfId="15313" xr:uid="{15D52E7D-493F-4E63-8F28-100089CEE94F}"/>
    <cellStyle name="Normal 5 3 3 2 2 2 6 2 3" xfId="23741" xr:uid="{E2B5D310-88EF-4399-A727-72690B0BFBFB}"/>
    <cellStyle name="Normal 5 3 3 2 2 2 6 3" xfId="11095" xr:uid="{8EC7B4B9-CE1C-4D52-8DF7-C861BA827200}"/>
    <cellStyle name="Normal 5 3 3 2 2 2 6 4" xfId="19524" xr:uid="{722E0E88-AC33-4A5B-9BFA-28AAE8D7130F}"/>
    <cellStyle name="Normal 5 3 3 2 2 2 7" xfId="4819" xr:uid="{00000000-0005-0000-0000-00008A190000}"/>
    <cellStyle name="Normal 5 3 3 2 2 2 7 2" xfId="13248" xr:uid="{F6D649AF-B7C0-4A43-8FD2-15DA492D0DD9}"/>
    <cellStyle name="Normal 5 3 3 2 2 2 7 3" xfId="21676" xr:uid="{35CD65BC-B2CF-4906-AB8A-C8664F8612D5}"/>
    <cellStyle name="Normal 5 3 3 2 2 2 8" xfId="9030" xr:uid="{010F46B2-2A4F-4289-A2B1-F257EBEA1709}"/>
    <cellStyle name="Normal 5 3 3 2 2 2 9" xfId="17459" xr:uid="{67332D22-D3CC-4ABE-8EF3-3CC83F4FDADA}"/>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805" xr:uid="{91D5301F-8368-4312-8C58-55133D3C3F46}"/>
    <cellStyle name="Normal 5 3 3 2 2 3 2 2 3" xfId="24233" xr:uid="{A47E3441-E1ED-44D1-8FD2-CD105421ECB2}"/>
    <cellStyle name="Normal 5 3 3 2 2 3 2 3" xfId="11587" xr:uid="{1B22D7C6-A02B-453A-B6D2-D2785D3A90D2}"/>
    <cellStyle name="Normal 5 3 3 2 2 3 2 4" xfId="20016" xr:uid="{17EE7B61-E9B1-4170-88DD-B5BD30BA99D8}"/>
    <cellStyle name="Normal 5 3 3 2 2 3 3" xfId="5231" xr:uid="{00000000-0005-0000-0000-00008E190000}"/>
    <cellStyle name="Normal 5 3 3 2 2 3 3 2" xfId="13660" xr:uid="{65C667A2-EDD3-4F8F-B586-8CC20CD19402}"/>
    <cellStyle name="Normal 5 3 3 2 2 3 3 3" xfId="22088" xr:uid="{7F894A0C-FA1D-493D-8785-69B44E0EE746}"/>
    <cellStyle name="Normal 5 3 3 2 2 3 4" xfId="9442" xr:uid="{30EE059B-700B-462B-89E3-32E08FACE654}"/>
    <cellStyle name="Normal 5 3 3 2 2 3 5" xfId="17871" xr:uid="{1028253D-B59D-4AF9-9FD2-58A6FFFBD2C4}"/>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8" xr:uid="{268ECD5F-A4DC-4F33-B236-71F850E29063}"/>
    <cellStyle name="Normal 5 3 3 2 2 4 2 2 3" xfId="24646" xr:uid="{262AC775-094B-47F9-B3BD-FFE4A478FFFB}"/>
    <cellStyle name="Normal 5 3 3 2 2 4 2 3" xfId="12000" xr:uid="{4150C68C-145E-40BE-86DD-6A37EF9A5330}"/>
    <cellStyle name="Normal 5 3 3 2 2 4 2 4" xfId="20429" xr:uid="{4E9ABA67-D2DC-4DD2-9CDA-C0AB6253B7FF}"/>
    <cellStyle name="Normal 5 3 3 2 2 4 3" xfId="5644" xr:uid="{00000000-0005-0000-0000-000092190000}"/>
    <cellStyle name="Normal 5 3 3 2 2 4 3 2" xfId="14073" xr:uid="{7C57A594-FDB0-4CF9-AB98-946DB4033748}"/>
    <cellStyle name="Normal 5 3 3 2 2 4 3 3" xfId="22501" xr:uid="{A519E6B0-D344-4A7E-874B-278061D73378}"/>
    <cellStyle name="Normal 5 3 3 2 2 4 4" xfId="9855" xr:uid="{881F83C1-8D60-4C87-A109-B74F80F8FC23}"/>
    <cellStyle name="Normal 5 3 3 2 2 4 5" xfId="18284" xr:uid="{E85867BD-945F-4C13-88A0-FE70777210DB}"/>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31" xr:uid="{0B053916-2E65-4D8F-B328-3A0FA1CD1AA4}"/>
    <cellStyle name="Normal 5 3 3 2 2 5 2 2 3" xfId="25059" xr:uid="{7B4EF812-7173-4720-B4B6-F9E1EC18DAD7}"/>
    <cellStyle name="Normal 5 3 3 2 2 5 2 3" xfId="12413" xr:uid="{53FEE1E4-70BA-411D-9B49-C91729A0CB1A}"/>
    <cellStyle name="Normal 5 3 3 2 2 5 2 4" xfId="20842" xr:uid="{C07E4214-4020-4150-977D-8042A8532398}"/>
    <cellStyle name="Normal 5 3 3 2 2 5 3" xfId="6057" xr:uid="{00000000-0005-0000-0000-000096190000}"/>
    <cellStyle name="Normal 5 3 3 2 2 5 3 2" xfId="14486" xr:uid="{B822E6A7-ECB6-456E-980D-89FFD509E462}"/>
    <cellStyle name="Normal 5 3 3 2 2 5 3 3" xfId="22914" xr:uid="{9AF9BEC3-C17B-48BC-B080-1BB088F04C92}"/>
    <cellStyle name="Normal 5 3 3 2 2 5 4" xfId="10268" xr:uid="{B378DF9F-FF03-4E5B-9293-D26FD3FD1B44}"/>
    <cellStyle name="Normal 5 3 3 2 2 5 5" xfId="18697" xr:uid="{008DD772-0073-4E1C-88D6-2D38F8498B3A}"/>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44" xr:uid="{FA6F771E-C109-49EF-8291-1178F6234869}"/>
    <cellStyle name="Normal 5 3 3 2 2 6 2 2 3" xfId="25472" xr:uid="{E9151ACC-02D2-469B-A53E-C2DB980EFBF4}"/>
    <cellStyle name="Normal 5 3 3 2 2 6 2 3" xfId="12826" xr:uid="{FE1E3D2E-BA17-4D7D-852B-D1EAA19AAC80}"/>
    <cellStyle name="Normal 5 3 3 2 2 6 2 4" xfId="21255" xr:uid="{88960B1F-74E1-4A64-A0F2-568F9DA9162E}"/>
    <cellStyle name="Normal 5 3 3 2 2 6 3" xfId="6470" xr:uid="{00000000-0005-0000-0000-00009A190000}"/>
    <cellStyle name="Normal 5 3 3 2 2 6 3 2" xfId="14899" xr:uid="{E886764D-EF88-4FA1-8622-7BFC29F9EBCF}"/>
    <cellStyle name="Normal 5 3 3 2 2 6 3 3" xfId="23327" xr:uid="{5CB5F586-9CD2-49E9-8B09-5286184425FA}"/>
    <cellStyle name="Normal 5 3 3 2 2 6 4" xfId="10681" xr:uid="{F844E529-1C85-4D08-AC22-4F82DC8E252B}"/>
    <cellStyle name="Normal 5 3 3 2 2 6 5" xfId="19110" xr:uid="{BA7970F2-7003-4431-9623-F2DAC6062FD3}"/>
    <cellStyle name="Normal 5 3 3 2 2 7" xfId="2598" xr:uid="{00000000-0005-0000-0000-00009B190000}"/>
    <cellStyle name="Normal 5 3 3 2 2 7 2" xfId="6883" xr:uid="{00000000-0005-0000-0000-00009C190000}"/>
    <cellStyle name="Normal 5 3 3 2 2 7 2 2" xfId="15312" xr:uid="{6FCA7474-4DF9-497E-904B-FF469EBEB147}"/>
    <cellStyle name="Normal 5 3 3 2 2 7 2 3" xfId="23740" xr:uid="{3035D258-8DC8-4B81-AB26-C2C5F253B8C8}"/>
    <cellStyle name="Normal 5 3 3 2 2 7 3" xfId="11094" xr:uid="{D8F3AA77-A35E-47CA-9EB5-67ADF87736E1}"/>
    <cellStyle name="Normal 5 3 3 2 2 7 4" xfId="19523" xr:uid="{7A902F99-084A-4D3C-A3B3-BE91D2960B3E}"/>
    <cellStyle name="Normal 5 3 3 2 2 8" xfId="4818" xr:uid="{00000000-0005-0000-0000-00009D190000}"/>
    <cellStyle name="Normal 5 3 3 2 2 8 2" xfId="13247" xr:uid="{1C54259A-B20B-4005-A54A-257615B9E9F9}"/>
    <cellStyle name="Normal 5 3 3 2 2 8 3" xfId="21675" xr:uid="{65A4B821-98F5-436D-9102-1CCD0937C6F3}"/>
    <cellStyle name="Normal 5 3 3 2 2 9" xfId="9029" xr:uid="{3C9D4687-F827-4217-A3E9-9B1474F0330A}"/>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7" xr:uid="{407AF89A-6250-4275-8805-F2FF90BCEDDE}"/>
    <cellStyle name="Normal 5 3 3 2 3 2 2 2 3" xfId="24235" xr:uid="{3244CF5F-EA6A-4899-A3C5-44DA85819A84}"/>
    <cellStyle name="Normal 5 3 3 2 3 2 2 3" xfId="11589" xr:uid="{1C68A195-E297-4AE5-AD85-5A07FBC75432}"/>
    <cellStyle name="Normal 5 3 3 2 3 2 2 4" xfId="20018" xr:uid="{6FC0DB71-1F84-485E-B740-0B91C167F13B}"/>
    <cellStyle name="Normal 5 3 3 2 3 2 3" xfId="5233" xr:uid="{00000000-0005-0000-0000-0000A2190000}"/>
    <cellStyle name="Normal 5 3 3 2 3 2 3 2" xfId="13662" xr:uid="{3882480E-0009-4795-932D-261816A76F95}"/>
    <cellStyle name="Normal 5 3 3 2 3 2 3 3" xfId="22090" xr:uid="{9888DC44-EE79-44F7-A33D-9B00BD874998}"/>
    <cellStyle name="Normal 5 3 3 2 3 2 4" xfId="9444" xr:uid="{17468D70-E596-4CFA-B978-D3AC6F184366}"/>
    <cellStyle name="Normal 5 3 3 2 3 2 5" xfId="17873" xr:uid="{25B6778B-CDAB-4F21-A62C-F981246FACBE}"/>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20" xr:uid="{C9B7B574-0799-4F80-AFAD-7ED6CEEB558B}"/>
    <cellStyle name="Normal 5 3 3 2 3 3 2 2 3" xfId="24648" xr:uid="{0E876A15-5CE5-4265-9FA8-30ACA0CFDB53}"/>
    <cellStyle name="Normal 5 3 3 2 3 3 2 3" xfId="12002" xr:uid="{099AAA76-A393-4C14-912A-6B7DEBC861D6}"/>
    <cellStyle name="Normal 5 3 3 2 3 3 2 4" xfId="20431" xr:uid="{3003720B-620B-49A3-AF0E-690005917168}"/>
    <cellStyle name="Normal 5 3 3 2 3 3 3" xfId="5646" xr:uid="{00000000-0005-0000-0000-0000A6190000}"/>
    <cellStyle name="Normal 5 3 3 2 3 3 3 2" xfId="14075" xr:uid="{A555FB06-67EF-4D48-91B2-F3EF15BBC930}"/>
    <cellStyle name="Normal 5 3 3 2 3 3 3 3" xfId="22503" xr:uid="{7C2D7480-384B-4ED7-8638-940D1C195933}"/>
    <cellStyle name="Normal 5 3 3 2 3 3 4" xfId="9857" xr:uid="{F5254013-A705-4510-B2EC-1EFBCF0E6626}"/>
    <cellStyle name="Normal 5 3 3 2 3 3 5" xfId="18286" xr:uid="{FED3DCA2-3095-4AA9-9F4A-AA6AEF602519}"/>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33" xr:uid="{7C0BEF05-9D94-4002-B8C5-A2103DDC87E0}"/>
    <cellStyle name="Normal 5 3 3 2 3 4 2 2 3" xfId="25061" xr:uid="{E39ADA60-B138-48D6-8465-B3B3447BFF8A}"/>
    <cellStyle name="Normal 5 3 3 2 3 4 2 3" xfId="12415" xr:uid="{D488C397-F57D-4F7C-B5BF-A940B8120BC0}"/>
    <cellStyle name="Normal 5 3 3 2 3 4 2 4" xfId="20844" xr:uid="{46EA55AE-9166-49BC-A313-FF9C89568C54}"/>
    <cellStyle name="Normal 5 3 3 2 3 4 3" xfId="6059" xr:uid="{00000000-0005-0000-0000-0000AA190000}"/>
    <cellStyle name="Normal 5 3 3 2 3 4 3 2" xfId="14488" xr:uid="{2BC099B9-E489-499E-B69B-F02EAB37201E}"/>
    <cellStyle name="Normal 5 3 3 2 3 4 3 3" xfId="22916" xr:uid="{7918887A-2D67-4482-8D26-672FE9F62DBC}"/>
    <cellStyle name="Normal 5 3 3 2 3 4 4" xfId="10270" xr:uid="{80D19C99-3920-4BFB-BF61-DFC2B23F0AD7}"/>
    <cellStyle name="Normal 5 3 3 2 3 4 5" xfId="18699" xr:uid="{3959FE00-74E3-473D-93EA-0074C3E42C41}"/>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46" xr:uid="{2922DF02-3C4B-47A5-85FA-CCE8DF445EB9}"/>
    <cellStyle name="Normal 5 3 3 2 3 5 2 2 3" xfId="25474" xr:uid="{1CFC7AD8-E4AE-401B-B488-5E2E2D37A450}"/>
    <cellStyle name="Normal 5 3 3 2 3 5 2 3" xfId="12828" xr:uid="{DCCD3F79-CFD7-45D5-B110-44DF3AF93567}"/>
    <cellStyle name="Normal 5 3 3 2 3 5 2 4" xfId="21257" xr:uid="{AC5B123F-6587-49D2-919C-DBEAB9B5D614}"/>
    <cellStyle name="Normal 5 3 3 2 3 5 3" xfId="6472" xr:uid="{00000000-0005-0000-0000-0000AE190000}"/>
    <cellStyle name="Normal 5 3 3 2 3 5 3 2" xfId="14901" xr:uid="{59DD6ED0-F3CD-4E92-9867-6FD226A74253}"/>
    <cellStyle name="Normal 5 3 3 2 3 5 3 3" xfId="23329" xr:uid="{7E3F76F3-388B-439B-B4A1-348984059B2A}"/>
    <cellStyle name="Normal 5 3 3 2 3 5 4" xfId="10683" xr:uid="{9FCA50BB-8F9A-40B3-A5F2-D22151EFE7CE}"/>
    <cellStyle name="Normal 5 3 3 2 3 5 5" xfId="19112" xr:uid="{80CCEBB1-4C37-4BE9-8FE1-C774D5DA88F5}"/>
    <cellStyle name="Normal 5 3 3 2 3 6" xfId="2600" xr:uid="{00000000-0005-0000-0000-0000AF190000}"/>
    <cellStyle name="Normal 5 3 3 2 3 6 2" xfId="6885" xr:uid="{00000000-0005-0000-0000-0000B0190000}"/>
    <cellStyle name="Normal 5 3 3 2 3 6 2 2" xfId="15314" xr:uid="{781ABB93-52C7-4D7E-B70A-27164409F00C}"/>
    <cellStyle name="Normal 5 3 3 2 3 6 2 3" xfId="23742" xr:uid="{04A4BD7C-C0C9-418B-BD5F-F704287B7BA3}"/>
    <cellStyle name="Normal 5 3 3 2 3 6 3" xfId="11096" xr:uid="{E89631C7-D684-467F-87C2-A774AF3B79F5}"/>
    <cellStyle name="Normal 5 3 3 2 3 6 4" xfId="19525" xr:uid="{1A3B9CE4-2D66-443D-A2B9-240C476178CF}"/>
    <cellStyle name="Normal 5 3 3 2 3 7" xfId="4820" xr:uid="{00000000-0005-0000-0000-0000B1190000}"/>
    <cellStyle name="Normal 5 3 3 2 3 7 2" xfId="13249" xr:uid="{3A4FCA41-3AB2-43AF-A6DA-2696D9EC0642}"/>
    <cellStyle name="Normal 5 3 3 2 3 7 3" xfId="21677" xr:uid="{2DA48395-4EEB-46C6-8A9E-CCE938D182AD}"/>
    <cellStyle name="Normal 5 3 3 2 3 8" xfId="9031" xr:uid="{E5871A1C-45DB-4985-BF5F-FF1963828DF3}"/>
    <cellStyle name="Normal 5 3 3 2 3 9" xfId="17460" xr:uid="{D4BE2AAB-CE20-49A2-8872-504BA79F570E}"/>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804" xr:uid="{8266C8C7-CCCF-4CDB-AEB7-3003BFA6B180}"/>
    <cellStyle name="Normal 5 3 3 2 4 2 2 3" xfId="24232" xr:uid="{3899C78F-724A-4AEF-8CD7-1742C1EEA087}"/>
    <cellStyle name="Normal 5 3 3 2 4 2 3" xfId="11586" xr:uid="{D1D3CBF7-26B3-42C1-974A-052837D54819}"/>
    <cellStyle name="Normal 5 3 3 2 4 2 4" xfId="20015" xr:uid="{3C495ABA-BFED-4016-83F5-E43E29B05CDB}"/>
    <cellStyle name="Normal 5 3 3 2 4 3" xfId="5230" xr:uid="{00000000-0005-0000-0000-0000B5190000}"/>
    <cellStyle name="Normal 5 3 3 2 4 3 2" xfId="13659" xr:uid="{52E827D2-419F-4B79-90E9-A97E301F3A28}"/>
    <cellStyle name="Normal 5 3 3 2 4 3 3" xfId="22087" xr:uid="{742AAF99-997E-4429-8DAD-BE2474E15EAD}"/>
    <cellStyle name="Normal 5 3 3 2 4 4" xfId="9441" xr:uid="{BE072B71-19C8-43DE-B457-347566933924}"/>
    <cellStyle name="Normal 5 3 3 2 4 5" xfId="17870" xr:uid="{135E9B2A-671E-4BF7-A398-CDD81D847421}"/>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7" xr:uid="{0DCEE956-AD67-475F-B782-A5AAEA8CCE42}"/>
    <cellStyle name="Normal 5 3 3 2 5 2 2 3" xfId="24645" xr:uid="{7233FACC-1DBC-4CFB-B55A-1F4EC96949F2}"/>
    <cellStyle name="Normal 5 3 3 2 5 2 3" xfId="11999" xr:uid="{CB76BE82-054D-4BFE-AE49-D6AE2EF15129}"/>
    <cellStyle name="Normal 5 3 3 2 5 2 4" xfId="20428" xr:uid="{85F76D4C-71BB-4B98-849A-830A5D1602DE}"/>
    <cellStyle name="Normal 5 3 3 2 5 3" xfId="5643" xr:uid="{00000000-0005-0000-0000-0000B9190000}"/>
    <cellStyle name="Normal 5 3 3 2 5 3 2" xfId="14072" xr:uid="{A5C5B16A-D236-4655-8AFD-6F12747A4265}"/>
    <cellStyle name="Normal 5 3 3 2 5 3 3" xfId="22500" xr:uid="{1FBD2552-B99A-469F-AC45-EC0D9118AD45}"/>
    <cellStyle name="Normal 5 3 3 2 5 4" xfId="9854" xr:uid="{1D317FE7-8883-4300-AF0D-9FE7F480E46E}"/>
    <cellStyle name="Normal 5 3 3 2 5 5" xfId="18283" xr:uid="{9EA0CBCE-E58D-4BCF-9669-8487264D01F0}"/>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30" xr:uid="{B1CDF7F3-B33A-4FBA-8156-F4DDBD43E91F}"/>
    <cellStyle name="Normal 5 3 3 2 6 2 2 3" xfId="25058" xr:uid="{40ABA04A-96B6-45B1-B329-FD55EE93365C}"/>
    <cellStyle name="Normal 5 3 3 2 6 2 3" xfId="12412" xr:uid="{F31920B9-0934-4E83-B541-03C4AE4C6BCC}"/>
    <cellStyle name="Normal 5 3 3 2 6 2 4" xfId="20841" xr:uid="{12E8323E-3747-47A1-A7F3-5C677F9D16F4}"/>
    <cellStyle name="Normal 5 3 3 2 6 3" xfId="6056" xr:uid="{00000000-0005-0000-0000-0000BD190000}"/>
    <cellStyle name="Normal 5 3 3 2 6 3 2" xfId="14485" xr:uid="{3EFB41B7-4274-4DAF-96A9-04CD819F27E1}"/>
    <cellStyle name="Normal 5 3 3 2 6 3 3" xfId="22913" xr:uid="{3FEC355E-A20E-4D07-B64A-B51F7944B61D}"/>
    <cellStyle name="Normal 5 3 3 2 6 4" xfId="10267" xr:uid="{C992FA0B-68D3-4798-B965-879C7FA2BF2C}"/>
    <cellStyle name="Normal 5 3 3 2 6 5" xfId="18696" xr:uid="{00A4DB5A-684A-4D1A-838A-DB23FEC09F97}"/>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43" xr:uid="{185BC231-D9CA-45D5-ACF5-6C60BBE2CB6E}"/>
    <cellStyle name="Normal 5 3 3 2 7 2 2 3" xfId="25471" xr:uid="{06DD61CE-B985-4ED6-851D-A6EAD1DF87D8}"/>
    <cellStyle name="Normal 5 3 3 2 7 2 3" xfId="12825" xr:uid="{0F484155-12D5-4221-978C-DFCE497F03A0}"/>
    <cellStyle name="Normal 5 3 3 2 7 2 4" xfId="21254" xr:uid="{FA0CAE1C-7E40-403E-A5F7-B38521B6D0E5}"/>
    <cellStyle name="Normal 5 3 3 2 7 3" xfId="6469" xr:uid="{00000000-0005-0000-0000-0000C1190000}"/>
    <cellStyle name="Normal 5 3 3 2 7 3 2" xfId="14898" xr:uid="{8E2C6E74-516B-4830-9149-61CC648545B0}"/>
    <cellStyle name="Normal 5 3 3 2 7 3 3" xfId="23326" xr:uid="{BCF84B58-ED88-4562-AFCF-762F551E4F61}"/>
    <cellStyle name="Normal 5 3 3 2 7 4" xfId="10680" xr:uid="{A9BAAC24-41CF-4AF9-BF47-E0A787917CC0}"/>
    <cellStyle name="Normal 5 3 3 2 7 5" xfId="19109" xr:uid="{4882E192-7D34-4024-B213-412E19F780D7}"/>
    <cellStyle name="Normal 5 3 3 2 8" xfId="2597" xr:uid="{00000000-0005-0000-0000-0000C2190000}"/>
    <cellStyle name="Normal 5 3 3 2 8 2" xfId="6882" xr:uid="{00000000-0005-0000-0000-0000C3190000}"/>
    <cellStyle name="Normal 5 3 3 2 8 2 2" xfId="15311" xr:uid="{5A4A22F8-CE2C-4796-9A31-2FAB2A9BA4E9}"/>
    <cellStyle name="Normal 5 3 3 2 8 2 3" xfId="23739" xr:uid="{77D471DA-5179-41E2-874A-D39A9470D4E0}"/>
    <cellStyle name="Normal 5 3 3 2 8 3" xfId="11093" xr:uid="{6D01C827-75B4-4AB8-87DE-7219B08AA209}"/>
    <cellStyle name="Normal 5 3 3 2 8 4" xfId="19522" xr:uid="{230A5077-376B-4660-894B-672E25FF0BDA}"/>
    <cellStyle name="Normal 5 3 3 2 9" xfId="4817" xr:uid="{00000000-0005-0000-0000-0000C4190000}"/>
    <cellStyle name="Normal 5 3 3 2 9 2" xfId="13246" xr:uid="{B3A0D773-96A5-4869-993C-D0DFA704FF02}"/>
    <cellStyle name="Normal 5 3 3 2 9 3" xfId="21674" xr:uid="{4BBA85F4-958E-4882-8AD8-FE431645CAD5}"/>
    <cellStyle name="Normal 5 3 3 3" xfId="446" xr:uid="{00000000-0005-0000-0000-0000C5190000}"/>
    <cellStyle name="Normal 5 3 3 3 10" xfId="17461" xr:uid="{03FBD9B9-3ACE-479A-97BC-867D0ED7621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9" xr:uid="{31B3FE97-D792-435D-8190-74610AB68B00}"/>
    <cellStyle name="Normal 5 3 3 3 2 2 2 2 3" xfId="24237" xr:uid="{E44E8931-A149-418D-8C66-F99A668A6919}"/>
    <cellStyle name="Normal 5 3 3 3 2 2 2 3" xfId="11591" xr:uid="{662409F8-C5E3-410D-9FAC-0A9488BD4E7E}"/>
    <cellStyle name="Normal 5 3 3 3 2 2 2 4" xfId="20020" xr:uid="{95FD6F91-CEBA-402F-A40F-FF5AC4411504}"/>
    <cellStyle name="Normal 5 3 3 3 2 2 3" xfId="5235" xr:uid="{00000000-0005-0000-0000-0000CA190000}"/>
    <cellStyle name="Normal 5 3 3 3 2 2 3 2" xfId="13664" xr:uid="{9BA48731-975C-42EA-BEC4-EB6544C17D28}"/>
    <cellStyle name="Normal 5 3 3 3 2 2 3 3" xfId="22092" xr:uid="{94B1C435-9B24-4768-8C28-695F63D48929}"/>
    <cellStyle name="Normal 5 3 3 3 2 2 4" xfId="9446" xr:uid="{B1E17627-F7F1-43E8-B201-9CAB30184E6D}"/>
    <cellStyle name="Normal 5 3 3 3 2 2 5" xfId="17875" xr:uid="{5AB625F3-8008-4703-8300-A7384EB88BBC}"/>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22" xr:uid="{66DDEE1F-7C67-4262-BC34-A056EC175F9F}"/>
    <cellStyle name="Normal 5 3 3 3 2 3 2 2 3" xfId="24650" xr:uid="{30D226C7-E57B-4560-B3BF-DA9DCDECF820}"/>
    <cellStyle name="Normal 5 3 3 3 2 3 2 3" xfId="12004" xr:uid="{A84823FC-EF16-4BFC-885F-C427133C85A6}"/>
    <cellStyle name="Normal 5 3 3 3 2 3 2 4" xfId="20433" xr:uid="{EC24648E-7BE8-4B6B-A8C7-940D21B3AF9F}"/>
    <cellStyle name="Normal 5 3 3 3 2 3 3" xfId="5648" xr:uid="{00000000-0005-0000-0000-0000CE190000}"/>
    <cellStyle name="Normal 5 3 3 3 2 3 3 2" xfId="14077" xr:uid="{79C07418-8410-4D82-9FA9-705BBD2E8162}"/>
    <cellStyle name="Normal 5 3 3 3 2 3 3 3" xfId="22505" xr:uid="{32E32426-8541-4CD9-8723-FCFC8F9E36FD}"/>
    <cellStyle name="Normal 5 3 3 3 2 3 4" xfId="9859" xr:uid="{6BA578AD-57FC-4816-BDD8-D5345E14E8E2}"/>
    <cellStyle name="Normal 5 3 3 3 2 3 5" xfId="18288" xr:uid="{85FCD1B4-8512-4E16-8576-81FB7C8F321D}"/>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35" xr:uid="{EB398D80-620B-49D6-9922-8564445BCAC6}"/>
    <cellStyle name="Normal 5 3 3 3 2 4 2 2 3" xfId="25063" xr:uid="{B600A563-07BC-4051-85E4-0A5AD71302B4}"/>
    <cellStyle name="Normal 5 3 3 3 2 4 2 3" xfId="12417" xr:uid="{D03DCB3A-A206-42E4-A023-123B5B23B200}"/>
    <cellStyle name="Normal 5 3 3 3 2 4 2 4" xfId="20846" xr:uid="{7F006EF9-0FBC-4740-883B-5A3C3DB7D2A2}"/>
    <cellStyle name="Normal 5 3 3 3 2 4 3" xfId="6061" xr:uid="{00000000-0005-0000-0000-0000D2190000}"/>
    <cellStyle name="Normal 5 3 3 3 2 4 3 2" xfId="14490" xr:uid="{32C97484-593A-45E1-ADDE-3DBD40FADF65}"/>
    <cellStyle name="Normal 5 3 3 3 2 4 3 3" xfId="22918" xr:uid="{5F330C41-7FF3-4875-B3A8-B68E0DCD077F}"/>
    <cellStyle name="Normal 5 3 3 3 2 4 4" xfId="10272" xr:uid="{18146DF6-BE27-43FD-AF51-BF351BC4C5FC}"/>
    <cellStyle name="Normal 5 3 3 3 2 4 5" xfId="18701" xr:uid="{EC18DCEA-4F0E-45C4-88EB-DA8611570F2F}"/>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8" xr:uid="{AFBD5015-D047-4891-BCDC-6EE1941D7B7C}"/>
    <cellStyle name="Normal 5 3 3 3 2 5 2 2 3" xfId="25476" xr:uid="{0D69A8CD-6902-4CA3-9003-CB6B006F7E6D}"/>
    <cellStyle name="Normal 5 3 3 3 2 5 2 3" xfId="12830" xr:uid="{B2F0F65B-C9C9-4FA6-B5AD-74CD210A699B}"/>
    <cellStyle name="Normal 5 3 3 3 2 5 2 4" xfId="21259" xr:uid="{AA846E4C-B17F-4796-8562-93073391ECEA}"/>
    <cellStyle name="Normal 5 3 3 3 2 5 3" xfId="6474" xr:uid="{00000000-0005-0000-0000-0000D6190000}"/>
    <cellStyle name="Normal 5 3 3 3 2 5 3 2" xfId="14903" xr:uid="{B0F555EF-4423-4CAE-B43C-A791AD4CB0D8}"/>
    <cellStyle name="Normal 5 3 3 3 2 5 3 3" xfId="23331" xr:uid="{9DD2D22D-7C4E-48D3-ABBD-EA4ECE166036}"/>
    <cellStyle name="Normal 5 3 3 3 2 5 4" xfId="10685" xr:uid="{DF25EEB0-DEDB-41B3-90EC-9B52283635EF}"/>
    <cellStyle name="Normal 5 3 3 3 2 5 5" xfId="19114" xr:uid="{FFED968C-4C9B-4D38-BAD1-165C05FB865F}"/>
    <cellStyle name="Normal 5 3 3 3 2 6" xfId="2602" xr:uid="{00000000-0005-0000-0000-0000D7190000}"/>
    <cellStyle name="Normal 5 3 3 3 2 6 2" xfId="6887" xr:uid="{00000000-0005-0000-0000-0000D8190000}"/>
    <cellStyle name="Normal 5 3 3 3 2 6 2 2" xfId="15316" xr:uid="{6C563F95-BBD1-40EE-87E5-BEE1823D01A3}"/>
    <cellStyle name="Normal 5 3 3 3 2 6 2 3" xfId="23744" xr:uid="{AC002EFD-1124-45BA-B763-DC4B3EBCCB80}"/>
    <cellStyle name="Normal 5 3 3 3 2 6 3" xfId="11098" xr:uid="{582BEDDF-9A29-48DF-B8A0-D2813B9F290C}"/>
    <cellStyle name="Normal 5 3 3 3 2 6 4" xfId="19527" xr:uid="{65B21424-F927-4AB6-918A-85A46809220A}"/>
    <cellStyle name="Normal 5 3 3 3 2 7" xfId="4822" xr:uid="{00000000-0005-0000-0000-0000D9190000}"/>
    <cellStyle name="Normal 5 3 3 3 2 7 2" xfId="13251" xr:uid="{CF6CAED6-E184-4A22-964D-FF948DCD2292}"/>
    <cellStyle name="Normal 5 3 3 3 2 7 3" xfId="21679" xr:uid="{66D1A35F-D5DC-4B63-9AD2-A93E6CD6B43D}"/>
    <cellStyle name="Normal 5 3 3 3 2 8" xfId="9033" xr:uid="{21A63305-B13A-414F-9C14-437DA43ACA57}"/>
    <cellStyle name="Normal 5 3 3 3 2 9" xfId="17462" xr:uid="{507793CD-C725-476D-BC80-F97BF7681423}"/>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8" xr:uid="{46D12831-2A08-4240-A486-6653BBF568A2}"/>
    <cellStyle name="Normal 5 3 3 3 3 2 2 3" xfId="24236" xr:uid="{9624958F-ED45-42A2-B279-24DDA2FA3B7A}"/>
    <cellStyle name="Normal 5 3 3 3 3 2 3" xfId="11590" xr:uid="{9ACBDE7B-496C-4197-A71B-682FFA12EC67}"/>
    <cellStyle name="Normal 5 3 3 3 3 2 4" xfId="20019" xr:uid="{72C8DF79-A22A-4B6D-B9E8-09887F8D77F0}"/>
    <cellStyle name="Normal 5 3 3 3 3 3" xfId="5234" xr:uid="{00000000-0005-0000-0000-0000DD190000}"/>
    <cellStyle name="Normal 5 3 3 3 3 3 2" xfId="13663" xr:uid="{26C34E0D-2F5A-49EF-9170-B78874A0BB7B}"/>
    <cellStyle name="Normal 5 3 3 3 3 3 3" xfId="22091" xr:uid="{876D3A1D-8F93-4CF3-BC5F-D89767E7EC03}"/>
    <cellStyle name="Normal 5 3 3 3 3 4" xfId="9445" xr:uid="{AA58608E-4385-4BAF-9D2E-551BFE623054}"/>
    <cellStyle name="Normal 5 3 3 3 3 5" xfId="17874" xr:uid="{E7C42CFD-75D2-4389-B26D-42B7F2E0A9F6}"/>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21" xr:uid="{DCAE1248-EFB3-419F-8C60-5FE9856A4967}"/>
    <cellStyle name="Normal 5 3 3 3 4 2 2 3" xfId="24649" xr:uid="{3DAA95D6-88BF-4091-BC00-D2937EF48754}"/>
    <cellStyle name="Normal 5 3 3 3 4 2 3" xfId="12003" xr:uid="{4355E0B2-5423-4D46-9D0F-806152B03D41}"/>
    <cellStyle name="Normal 5 3 3 3 4 2 4" xfId="20432" xr:uid="{382BCFC2-F10A-4F73-A9D2-692BE89C5BFC}"/>
    <cellStyle name="Normal 5 3 3 3 4 3" xfId="5647" xr:uid="{00000000-0005-0000-0000-0000E1190000}"/>
    <cellStyle name="Normal 5 3 3 3 4 3 2" xfId="14076" xr:uid="{2797D42C-4CEF-464F-90A2-466C81B5A355}"/>
    <cellStyle name="Normal 5 3 3 3 4 3 3" xfId="22504" xr:uid="{048ACEF6-9A5F-46EE-AB96-8F43993B6218}"/>
    <cellStyle name="Normal 5 3 3 3 4 4" xfId="9858" xr:uid="{91288401-A030-40AA-BD72-6321C328A4DD}"/>
    <cellStyle name="Normal 5 3 3 3 4 5" xfId="18287" xr:uid="{F4F7D11B-FA68-4369-9068-9D19F7F90DD1}"/>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34" xr:uid="{8C665DB8-7444-464D-A171-E7CE2452B364}"/>
    <cellStyle name="Normal 5 3 3 3 5 2 2 3" xfId="25062" xr:uid="{D13F2B80-F798-4277-8DC0-B17072ACF334}"/>
    <cellStyle name="Normal 5 3 3 3 5 2 3" xfId="12416" xr:uid="{067F5F65-A50D-4047-AB6D-8D17BB5F37EE}"/>
    <cellStyle name="Normal 5 3 3 3 5 2 4" xfId="20845" xr:uid="{8809D4F2-287E-473D-A339-23D7A5B60F99}"/>
    <cellStyle name="Normal 5 3 3 3 5 3" xfId="6060" xr:uid="{00000000-0005-0000-0000-0000E5190000}"/>
    <cellStyle name="Normal 5 3 3 3 5 3 2" xfId="14489" xr:uid="{5584573B-C3B1-414A-BF4F-AAA018E02E48}"/>
    <cellStyle name="Normal 5 3 3 3 5 3 3" xfId="22917" xr:uid="{C688729E-6761-44AB-9BE1-1326C2E8CB1E}"/>
    <cellStyle name="Normal 5 3 3 3 5 4" xfId="10271" xr:uid="{EC1BF6E7-84DC-4DB8-81DE-5952B02E993C}"/>
    <cellStyle name="Normal 5 3 3 3 5 5" xfId="18700" xr:uid="{7C5AEA58-C15D-4D65-AA04-146B0EFC407B}"/>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7" xr:uid="{A82DB764-E63F-40E3-99D8-98E025245DB0}"/>
    <cellStyle name="Normal 5 3 3 3 6 2 2 3" xfId="25475" xr:uid="{12B99587-D1DD-4960-BC21-0368B8DF91FA}"/>
    <cellStyle name="Normal 5 3 3 3 6 2 3" xfId="12829" xr:uid="{47EDBBF5-CFD9-4393-9ED1-1FC3F75EBD96}"/>
    <cellStyle name="Normal 5 3 3 3 6 2 4" xfId="21258" xr:uid="{8849427B-6984-4D6E-AFC7-8D1D9CA3358D}"/>
    <cellStyle name="Normal 5 3 3 3 6 3" xfId="6473" xr:uid="{00000000-0005-0000-0000-0000E9190000}"/>
    <cellStyle name="Normal 5 3 3 3 6 3 2" xfId="14902" xr:uid="{30D95C4A-F3E6-441F-B900-507484A3FDDC}"/>
    <cellStyle name="Normal 5 3 3 3 6 3 3" xfId="23330" xr:uid="{FAC2DDFF-6D16-4D6C-A21C-C03B86CA67C6}"/>
    <cellStyle name="Normal 5 3 3 3 6 4" xfId="10684" xr:uid="{E64EB33D-D91D-450D-A8FF-27F79E6A6366}"/>
    <cellStyle name="Normal 5 3 3 3 6 5" xfId="19113" xr:uid="{65D38A54-2915-4615-8A95-6F96E166DDEA}"/>
    <cellStyle name="Normal 5 3 3 3 7" xfId="2601" xr:uid="{00000000-0005-0000-0000-0000EA190000}"/>
    <cellStyle name="Normal 5 3 3 3 7 2" xfId="6886" xr:uid="{00000000-0005-0000-0000-0000EB190000}"/>
    <cellStyle name="Normal 5 3 3 3 7 2 2" xfId="15315" xr:uid="{E0829036-598A-494B-865E-EA5EDEAACC39}"/>
    <cellStyle name="Normal 5 3 3 3 7 2 3" xfId="23743" xr:uid="{75A9F5FB-E3BB-415B-9096-6BB5D5D87A01}"/>
    <cellStyle name="Normal 5 3 3 3 7 3" xfId="11097" xr:uid="{7177C18C-00C8-4D03-B7BF-1C739A3DF980}"/>
    <cellStyle name="Normal 5 3 3 3 7 4" xfId="19526" xr:uid="{3B44B569-7FC2-4829-B675-8F7C11CA064F}"/>
    <cellStyle name="Normal 5 3 3 3 8" xfId="4821" xr:uid="{00000000-0005-0000-0000-0000EC190000}"/>
    <cellStyle name="Normal 5 3 3 3 8 2" xfId="13250" xr:uid="{A4062DD4-02E4-414A-AE83-AE7A9B163A4A}"/>
    <cellStyle name="Normal 5 3 3 3 8 3" xfId="21678" xr:uid="{963C432D-DC9A-4548-80DB-2EA75F30CDBB}"/>
    <cellStyle name="Normal 5 3 3 3 9" xfId="9032" xr:uid="{C88FAAD2-EC4E-46C6-960C-BE530408E588}"/>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10" xr:uid="{DC0EEBC6-966F-4D15-8541-5E96370028CD}"/>
    <cellStyle name="Normal 5 3 3 4 2 2 2 3" xfId="24238" xr:uid="{48874FC3-44F0-4012-A913-79F08302D630}"/>
    <cellStyle name="Normal 5 3 3 4 2 2 3" xfId="11592" xr:uid="{85403EB0-7B39-4659-9D90-14275420C2B2}"/>
    <cellStyle name="Normal 5 3 3 4 2 2 4" xfId="20021" xr:uid="{F3BE776D-C14F-4FC7-BBCA-7DF012F2BE15}"/>
    <cellStyle name="Normal 5 3 3 4 2 3" xfId="5236" xr:uid="{00000000-0005-0000-0000-0000F1190000}"/>
    <cellStyle name="Normal 5 3 3 4 2 3 2" xfId="13665" xr:uid="{B32275A6-294D-490F-9B0D-7681C168F32E}"/>
    <cellStyle name="Normal 5 3 3 4 2 3 3" xfId="22093" xr:uid="{110A50F2-3323-4FC7-81EF-C8211BD2D50F}"/>
    <cellStyle name="Normal 5 3 3 4 2 4" xfId="9447" xr:uid="{38C630DC-493C-4254-8634-8F474652E940}"/>
    <cellStyle name="Normal 5 3 3 4 2 5" xfId="17876" xr:uid="{93A0F327-A4E7-475F-8AAF-ADF60418AC73}"/>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23" xr:uid="{74153EDD-D34D-436C-BD47-AD9F41495C6F}"/>
    <cellStyle name="Normal 5 3 3 4 3 2 2 3" xfId="24651" xr:uid="{ACAFB63A-4748-469F-9AF6-A4FD2341B58E}"/>
    <cellStyle name="Normal 5 3 3 4 3 2 3" xfId="12005" xr:uid="{3CED8839-B662-4B6C-BBE4-549BF4F7D582}"/>
    <cellStyle name="Normal 5 3 3 4 3 2 4" xfId="20434" xr:uid="{8CC4A27C-0BF1-4DCD-AD2A-5F677827E246}"/>
    <cellStyle name="Normal 5 3 3 4 3 3" xfId="5649" xr:uid="{00000000-0005-0000-0000-0000F5190000}"/>
    <cellStyle name="Normal 5 3 3 4 3 3 2" xfId="14078" xr:uid="{1699FCC6-BA68-4557-9205-3ABD2E7547D7}"/>
    <cellStyle name="Normal 5 3 3 4 3 3 3" xfId="22506" xr:uid="{97A81B04-823C-4C8B-A5CE-8E0ADF1B4C23}"/>
    <cellStyle name="Normal 5 3 3 4 3 4" xfId="9860" xr:uid="{D587303D-B869-4409-A41C-085EAFB37665}"/>
    <cellStyle name="Normal 5 3 3 4 3 5" xfId="18289" xr:uid="{A993AEFE-1A83-434D-9A0B-B8AB92759073}"/>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36" xr:uid="{F8C6C136-1068-4D88-8D5C-DFDE4CF95C6C}"/>
    <cellStyle name="Normal 5 3 3 4 4 2 2 3" xfId="25064" xr:uid="{6E8F4AD8-21D5-42DE-B021-F0F15BE3EB2B}"/>
    <cellStyle name="Normal 5 3 3 4 4 2 3" xfId="12418" xr:uid="{96F5BF84-139A-4BF6-9146-4F87764A119F}"/>
    <cellStyle name="Normal 5 3 3 4 4 2 4" xfId="20847" xr:uid="{A970ED28-F416-4DBB-B94E-D44D6B169027}"/>
    <cellStyle name="Normal 5 3 3 4 4 3" xfId="6062" xr:uid="{00000000-0005-0000-0000-0000F9190000}"/>
    <cellStyle name="Normal 5 3 3 4 4 3 2" xfId="14491" xr:uid="{9237F4BB-72F0-4E6B-94B4-2EB363A9E2E9}"/>
    <cellStyle name="Normal 5 3 3 4 4 3 3" xfId="22919" xr:uid="{BED34D3F-E79A-4CC6-86FC-051066D9ECEF}"/>
    <cellStyle name="Normal 5 3 3 4 4 4" xfId="10273" xr:uid="{403B5104-2223-4F72-B1E0-48A1780274E0}"/>
    <cellStyle name="Normal 5 3 3 4 4 5" xfId="18702" xr:uid="{F217AA6A-63F6-46C0-A793-DF11DCBE82E7}"/>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9" xr:uid="{3AACCC90-A9CC-4809-AABA-01402E885682}"/>
    <cellStyle name="Normal 5 3 3 4 5 2 2 3" xfId="25477" xr:uid="{34084D53-4125-4A87-B533-56B02B3896E3}"/>
    <cellStyle name="Normal 5 3 3 4 5 2 3" xfId="12831" xr:uid="{A6C615D0-761E-4E30-A608-E95D84F5FA91}"/>
    <cellStyle name="Normal 5 3 3 4 5 2 4" xfId="21260" xr:uid="{4A211D86-AE2E-420B-98EF-6C4B3CD69501}"/>
    <cellStyle name="Normal 5 3 3 4 5 3" xfId="6475" xr:uid="{00000000-0005-0000-0000-0000FD190000}"/>
    <cellStyle name="Normal 5 3 3 4 5 3 2" xfId="14904" xr:uid="{1CC70653-C95E-4520-8955-46B813FF6567}"/>
    <cellStyle name="Normal 5 3 3 4 5 3 3" xfId="23332" xr:uid="{C5918FB9-6D44-4543-A268-5DE6A97ED199}"/>
    <cellStyle name="Normal 5 3 3 4 5 4" xfId="10686" xr:uid="{CBF39EE7-4176-4722-B74C-EBF44194F647}"/>
    <cellStyle name="Normal 5 3 3 4 5 5" xfId="19115" xr:uid="{22D624C2-F617-4DDE-BC1E-3B2D23AC06EA}"/>
    <cellStyle name="Normal 5 3 3 4 6" xfId="2603" xr:uid="{00000000-0005-0000-0000-0000FE190000}"/>
    <cellStyle name="Normal 5 3 3 4 6 2" xfId="6888" xr:uid="{00000000-0005-0000-0000-0000FF190000}"/>
    <cellStyle name="Normal 5 3 3 4 6 2 2" xfId="15317" xr:uid="{F55E2913-613A-4178-98A9-983F1EF5E255}"/>
    <cellStyle name="Normal 5 3 3 4 6 2 3" xfId="23745" xr:uid="{EDE15B2F-A3F8-478A-9202-EF3178B8F6DC}"/>
    <cellStyle name="Normal 5 3 3 4 6 3" xfId="11099" xr:uid="{038C0C93-809E-4877-8BFA-CD0AB7D74508}"/>
    <cellStyle name="Normal 5 3 3 4 6 4" xfId="19528" xr:uid="{70D098B3-DB7F-4BA3-9A3B-8F633BB0666C}"/>
    <cellStyle name="Normal 5 3 3 4 7" xfId="4823" xr:uid="{00000000-0005-0000-0000-0000001A0000}"/>
    <cellStyle name="Normal 5 3 3 4 7 2" xfId="13252" xr:uid="{C3E2E83D-BE61-41F3-8D05-EC02F98BD10D}"/>
    <cellStyle name="Normal 5 3 3 4 7 3" xfId="21680" xr:uid="{582ABA4F-5340-4F0A-A2F5-8FC71010F6BD}"/>
    <cellStyle name="Normal 5 3 3 4 8" xfId="9034" xr:uid="{D5144CF8-0B62-4943-B9E5-48E3F2BC4643}"/>
    <cellStyle name="Normal 5 3 3 4 9" xfId="17463" xr:uid="{9387599B-B99A-4AFD-A481-753628A9C567}"/>
    <cellStyle name="Normal 5 3 3 5" xfId="916" xr:uid="{00000000-0005-0000-0000-0000011A0000}"/>
    <cellStyle name="Normal 5 3 3 5 2" xfId="3150" xr:uid="{00000000-0005-0000-0000-0000021A0000}"/>
    <cellStyle name="Normal 5 3 3 5 2 2" xfId="7374" xr:uid="{00000000-0005-0000-0000-0000031A0000}"/>
    <cellStyle name="Normal 5 3 3 5 2 2 2" xfId="15803" xr:uid="{7FBF1BD4-BBC4-4A6F-8A7A-7F3405F5A710}"/>
    <cellStyle name="Normal 5 3 3 5 2 2 3" xfId="24231" xr:uid="{CB5A63A7-0D4E-4FAB-90F0-4E206D27B5BF}"/>
    <cellStyle name="Normal 5 3 3 5 2 3" xfId="11585" xr:uid="{F564558D-4E93-4FE7-9496-4D85382B24AE}"/>
    <cellStyle name="Normal 5 3 3 5 2 4" xfId="20014" xr:uid="{5AADCA0B-E0E0-41F1-A967-7F14C04ADA3D}"/>
    <cellStyle name="Normal 5 3 3 5 3" xfId="5229" xr:uid="{00000000-0005-0000-0000-0000041A0000}"/>
    <cellStyle name="Normal 5 3 3 5 3 2" xfId="13658" xr:uid="{824C007B-F9DF-4197-B5F7-2812EC50C8EF}"/>
    <cellStyle name="Normal 5 3 3 5 3 3" xfId="22086" xr:uid="{98CEBBED-F117-4472-B734-C2CFBA26DFD3}"/>
    <cellStyle name="Normal 5 3 3 5 4" xfId="9440" xr:uid="{1B61FE12-52B4-4407-BF86-6EF77E75A8BE}"/>
    <cellStyle name="Normal 5 3 3 5 5" xfId="17869" xr:uid="{81CB665E-5DD7-4C2C-A485-B385886360B0}"/>
    <cellStyle name="Normal 5 3 3 6" xfId="1333" xr:uid="{00000000-0005-0000-0000-0000051A0000}"/>
    <cellStyle name="Normal 5 3 3 6 2" xfId="3563" xr:uid="{00000000-0005-0000-0000-0000061A0000}"/>
    <cellStyle name="Normal 5 3 3 6 2 2" xfId="7787" xr:uid="{00000000-0005-0000-0000-0000071A0000}"/>
    <cellStyle name="Normal 5 3 3 6 2 2 2" xfId="16216" xr:uid="{320109AE-E1F3-4A33-B752-C835E86F92A7}"/>
    <cellStyle name="Normal 5 3 3 6 2 2 3" xfId="24644" xr:uid="{5496084A-EBF4-43D2-809F-F1F8D7FC7DBC}"/>
    <cellStyle name="Normal 5 3 3 6 2 3" xfId="11998" xr:uid="{3EF6F472-4406-4D6C-A1E7-CE3781AE2B40}"/>
    <cellStyle name="Normal 5 3 3 6 2 4" xfId="20427" xr:uid="{9E57950B-E829-4CC5-8867-B303FD9590E8}"/>
    <cellStyle name="Normal 5 3 3 6 3" xfId="5642" xr:uid="{00000000-0005-0000-0000-0000081A0000}"/>
    <cellStyle name="Normal 5 3 3 6 3 2" xfId="14071" xr:uid="{E4F740AC-7479-4EBB-9465-1605B07AB882}"/>
    <cellStyle name="Normal 5 3 3 6 3 3" xfId="22499" xr:uid="{FEE590FE-8848-431A-B322-377CA3BFAA2D}"/>
    <cellStyle name="Normal 5 3 3 6 4" xfId="9853" xr:uid="{5CDFFD4E-172D-46DF-8453-ED6255ADB32A}"/>
    <cellStyle name="Normal 5 3 3 6 5" xfId="18282" xr:uid="{FCD4B6B9-D689-46C6-8462-A8FDA5DADAC5}"/>
    <cellStyle name="Normal 5 3 3 7" xfId="1746" xr:uid="{00000000-0005-0000-0000-0000091A0000}"/>
    <cellStyle name="Normal 5 3 3 7 2" xfId="3976" xr:uid="{00000000-0005-0000-0000-00000A1A0000}"/>
    <cellStyle name="Normal 5 3 3 7 2 2" xfId="8200" xr:uid="{00000000-0005-0000-0000-00000B1A0000}"/>
    <cellStyle name="Normal 5 3 3 7 2 2 2" xfId="16629" xr:uid="{033A8F10-F0CB-4FC9-9F6E-70FAAFDBA45D}"/>
    <cellStyle name="Normal 5 3 3 7 2 2 3" xfId="25057" xr:uid="{D25B9796-2704-4DED-AF42-7624655D6499}"/>
    <cellStyle name="Normal 5 3 3 7 2 3" xfId="12411" xr:uid="{1315494D-EC5D-436A-838F-A7338C17F271}"/>
    <cellStyle name="Normal 5 3 3 7 2 4" xfId="20840" xr:uid="{2769B7F9-C1E4-4734-AD75-9CD090C31EC8}"/>
    <cellStyle name="Normal 5 3 3 7 3" xfId="6055" xr:uid="{00000000-0005-0000-0000-00000C1A0000}"/>
    <cellStyle name="Normal 5 3 3 7 3 2" xfId="14484" xr:uid="{B90479EC-C9A0-4BC0-B9F0-0458A4378DE3}"/>
    <cellStyle name="Normal 5 3 3 7 3 3" xfId="22912" xr:uid="{41FF60D2-B96A-40AC-9715-00CB13815944}"/>
    <cellStyle name="Normal 5 3 3 7 4" xfId="10266" xr:uid="{C86721DC-BE6B-4701-8639-5EC1F821FB7C}"/>
    <cellStyle name="Normal 5 3 3 7 5" xfId="18695" xr:uid="{E654294A-22E3-4FDD-90E5-8F9041C5FB54}"/>
    <cellStyle name="Normal 5 3 3 8" xfId="2160" xr:uid="{00000000-0005-0000-0000-00000D1A0000}"/>
    <cellStyle name="Normal 5 3 3 8 2" xfId="4389" xr:uid="{00000000-0005-0000-0000-00000E1A0000}"/>
    <cellStyle name="Normal 5 3 3 8 2 2" xfId="8613" xr:uid="{00000000-0005-0000-0000-00000F1A0000}"/>
    <cellStyle name="Normal 5 3 3 8 2 2 2" xfId="17042" xr:uid="{9800C629-AC26-4D4B-BE04-D57A95C1DEDC}"/>
    <cellStyle name="Normal 5 3 3 8 2 2 3" xfId="25470" xr:uid="{661BBAB7-D0E8-4EAA-B8E5-E934E996E03D}"/>
    <cellStyle name="Normal 5 3 3 8 2 3" xfId="12824" xr:uid="{59B890B2-ABBD-49D2-864E-7585F76C32AA}"/>
    <cellStyle name="Normal 5 3 3 8 2 4" xfId="21253" xr:uid="{C881DEC0-D2A2-4AFB-A6A5-008E21F033ED}"/>
    <cellStyle name="Normal 5 3 3 8 3" xfId="6468" xr:uid="{00000000-0005-0000-0000-0000101A0000}"/>
    <cellStyle name="Normal 5 3 3 8 3 2" xfId="14897" xr:uid="{B75A2CED-28EC-4A10-803F-F53DA5A14F7B}"/>
    <cellStyle name="Normal 5 3 3 8 3 3" xfId="23325" xr:uid="{DC3DCB98-0F93-472D-B55A-3C1B43E0F73E}"/>
    <cellStyle name="Normal 5 3 3 8 4" xfId="10679" xr:uid="{1CCF401C-E7A5-497A-B255-F3689C9E9929}"/>
    <cellStyle name="Normal 5 3 3 8 5" xfId="19108" xr:uid="{57DFBF3A-1641-482D-B34A-64A05DB368B1}"/>
    <cellStyle name="Normal 5 3 3 9" xfId="2596" xr:uid="{00000000-0005-0000-0000-0000111A0000}"/>
    <cellStyle name="Normal 5 3 3 9 2" xfId="6881" xr:uid="{00000000-0005-0000-0000-0000121A0000}"/>
    <cellStyle name="Normal 5 3 3 9 2 2" xfId="15310" xr:uid="{CE51BD75-650A-4372-B930-00578E3360E9}"/>
    <cellStyle name="Normal 5 3 3 9 2 3" xfId="23738" xr:uid="{BBF59A10-4E60-4525-8D98-A4794BDBD2A4}"/>
    <cellStyle name="Normal 5 3 3 9 3" xfId="11092" xr:uid="{B87FA03B-383C-4F2F-9737-0D39BC1557CC}"/>
    <cellStyle name="Normal 5 3 3 9 4" xfId="19521" xr:uid="{8EB9EEF6-16CB-4322-9851-9FE2A945CB91}"/>
    <cellStyle name="Normal 5 3 4" xfId="449" xr:uid="{00000000-0005-0000-0000-0000131A0000}"/>
    <cellStyle name="Normal 5 3 4 10" xfId="9035" xr:uid="{B3B32F93-BABB-4C05-8FA1-DD5AB0759723}"/>
    <cellStyle name="Normal 5 3 4 11" xfId="17464" xr:uid="{0C8DB66A-F7A2-4898-B63A-66B461EF7045}"/>
    <cellStyle name="Normal 5 3 4 2" xfId="450" xr:uid="{00000000-0005-0000-0000-0000141A0000}"/>
    <cellStyle name="Normal 5 3 4 2 10" xfId="17465" xr:uid="{AF3E9ACF-6B95-4604-A5CA-5185C8785C61}"/>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13" xr:uid="{7E799817-6B51-4BD3-8DD4-9BFDC23834AE}"/>
    <cellStyle name="Normal 5 3 4 2 2 2 2 2 3" xfId="24241" xr:uid="{33DEE9A6-7A0C-40C6-9A5D-48B8C7AFC2D0}"/>
    <cellStyle name="Normal 5 3 4 2 2 2 2 3" xfId="11595" xr:uid="{239CEF7B-74E5-44F2-BEFE-58B8CE0E2022}"/>
    <cellStyle name="Normal 5 3 4 2 2 2 2 4" xfId="20024" xr:uid="{80D4B852-BACD-406E-9C2C-A91312C93ACD}"/>
    <cellStyle name="Normal 5 3 4 2 2 2 3" xfId="5239" xr:uid="{00000000-0005-0000-0000-0000191A0000}"/>
    <cellStyle name="Normal 5 3 4 2 2 2 3 2" xfId="13668" xr:uid="{6806B86C-8C27-4E0A-B6AC-8841E265E744}"/>
    <cellStyle name="Normal 5 3 4 2 2 2 3 3" xfId="22096" xr:uid="{77B8BB5F-5455-4F6D-AEDF-01B36C389C45}"/>
    <cellStyle name="Normal 5 3 4 2 2 2 4" xfId="9450" xr:uid="{4FBD2EF7-0881-4642-A3DA-2104E6E96160}"/>
    <cellStyle name="Normal 5 3 4 2 2 2 5" xfId="17879" xr:uid="{C8637AEE-4152-4A53-91CE-FF1A5B53F967}"/>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26" xr:uid="{87B1A24C-4C14-4040-BF3E-7942DAB6F412}"/>
    <cellStyle name="Normal 5 3 4 2 2 3 2 2 3" xfId="24654" xr:uid="{0D154EFD-09BD-4905-85F5-12753E5FF65C}"/>
    <cellStyle name="Normal 5 3 4 2 2 3 2 3" xfId="12008" xr:uid="{F3431307-EB2D-4F3F-98C9-B83E66007C88}"/>
    <cellStyle name="Normal 5 3 4 2 2 3 2 4" xfId="20437" xr:uid="{8593F25C-F688-46D6-B799-AFE709335DC3}"/>
    <cellStyle name="Normal 5 3 4 2 2 3 3" xfId="5652" xr:uid="{00000000-0005-0000-0000-00001D1A0000}"/>
    <cellStyle name="Normal 5 3 4 2 2 3 3 2" xfId="14081" xr:uid="{F50B315B-B5EA-4D69-850D-388A777B6455}"/>
    <cellStyle name="Normal 5 3 4 2 2 3 3 3" xfId="22509" xr:uid="{93F9F074-857F-4104-A9B3-D4D3AA0FC812}"/>
    <cellStyle name="Normal 5 3 4 2 2 3 4" xfId="9863" xr:uid="{74B8FB8C-5E4C-4266-B91C-1F878748301E}"/>
    <cellStyle name="Normal 5 3 4 2 2 3 5" xfId="18292" xr:uid="{EDB60092-F952-45F2-BB95-3B33807E79A5}"/>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9" xr:uid="{CE25B4E1-E3A6-4A4D-8409-60B110FA49A7}"/>
    <cellStyle name="Normal 5 3 4 2 2 4 2 2 3" xfId="25067" xr:uid="{B6262DF2-9BF9-426F-95CB-AFF4083BA743}"/>
    <cellStyle name="Normal 5 3 4 2 2 4 2 3" xfId="12421" xr:uid="{F7DB2B0C-E534-4BFF-89F5-03EC9FC1130D}"/>
    <cellStyle name="Normal 5 3 4 2 2 4 2 4" xfId="20850" xr:uid="{26E69D6B-11EF-4D3F-9938-3762AF5D59D7}"/>
    <cellStyle name="Normal 5 3 4 2 2 4 3" xfId="6065" xr:uid="{00000000-0005-0000-0000-0000211A0000}"/>
    <cellStyle name="Normal 5 3 4 2 2 4 3 2" xfId="14494" xr:uid="{4E53AC23-F9BB-4066-8D00-B2A5A2E02649}"/>
    <cellStyle name="Normal 5 3 4 2 2 4 3 3" xfId="22922" xr:uid="{33F5482E-C20E-42A4-B0EB-9382B86616AB}"/>
    <cellStyle name="Normal 5 3 4 2 2 4 4" xfId="10276" xr:uid="{EEE2EFAC-E389-4B0A-B503-3154DE2F2A9E}"/>
    <cellStyle name="Normal 5 3 4 2 2 4 5" xfId="18705" xr:uid="{3DEFB186-1E8B-4272-9B48-454C8CD341AA}"/>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52" xr:uid="{5D3EF936-ED66-4866-9D29-E7D9686DD37C}"/>
    <cellStyle name="Normal 5 3 4 2 2 5 2 2 3" xfId="25480" xr:uid="{940D6A71-0AD2-4F3C-B05A-C8E918C9EC07}"/>
    <cellStyle name="Normal 5 3 4 2 2 5 2 3" xfId="12834" xr:uid="{17A009AC-2718-48E8-B043-D31DFE2E11F9}"/>
    <cellStyle name="Normal 5 3 4 2 2 5 2 4" xfId="21263" xr:uid="{B8BFA939-D4CF-456A-BC34-F78374405247}"/>
    <cellStyle name="Normal 5 3 4 2 2 5 3" xfId="6478" xr:uid="{00000000-0005-0000-0000-0000251A0000}"/>
    <cellStyle name="Normal 5 3 4 2 2 5 3 2" xfId="14907" xr:uid="{6680FA9C-D87F-4A4C-A8EE-A7B0AFEC902C}"/>
    <cellStyle name="Normal 5 3 4 2 2 5 3 3" xfId="23335" xr:uid="{C9BCC3A3-CA6B-4450-A9B8-AF075ACDB6AD}"/>
    <cellStyle name="Normal 5 3 4 2 2 5 4" xfId="10689" xr:uid="{F084F01A-94D2-4A68-B990-7876843E3550}"/>
    <cellStyle name="Normal 5 3 4 2 2 5 5" xfId="19118" xr:uid="{A061DB25-4A78-40AC-BD1E-7D1D707894FB}"/>
    <cellStyle name="Normal 5 3 4 2 2 6" xfId="2606" xr:uid="{00000000-0005-0000-0000-0000261A0000}"/>
    <cellStyle name="Normal 5 3 4 2 2 6 2" xfId="6891" xr:uid="{00000000-0005-0000-0000-0000271A0000}"/>
    <cellStyle name="Normal 5 3 4 2 2 6 2 2" xfId="15320" xr:uid="{67A0F599-D665-4643-9C2B-DB2CE7D16C8E}"/>
    <cellStyle name="Normal 5 3 4 2 2 6 2 3" xfId="23748" xr:uid="{C816FE15-359D-4754-8A3E-A05C4A342867}"/>
    <cellStyle name="Normal 5 3 4 2 2 6 3" xfId="11102" xr:uid="{0772EA60-4DA2-4D65-A9ED-31272BDEF4C6}"/>
    <cellStyle name="Normal 5 3 4 2 2 6 4" xfId="19531" xr:uid="{99DFBEE0-159C-471E-9981-CE992D76DF83}"/>
    <cellStyle name="Normal 5 3 4 2 2 7" xfId="4826" xr:uid="{00000000-0005-0000-0000-0000281A0000}"/>
    <cellStyle name="Normal 5 3 4 2 2 7 2" xfId="13255" xr:uid="{D48A6162-DFB0-42DE-9BD0-51BC59E1406F}"/>
    <cellStyle name="Normal 5 3 4 2 2 7 3" xfId="21683" xr:uid="{8581204A-7368-406A-B070-8ABDDDDEB4DB}"/>
    <cellStyle name="Normal 5 3 4 2 2 8" xfId="9037" xr:uid="{5AC9C12F-541F-4140-86E6-67ECB348994F}"/>
    <cellStyle name="Normal 5 3 4 2 2 9" xfId="17466" xr:uid="{88268009-5724-4B8F-A4CB-9B15E5964BA6}"/>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12" xr:uid="{391EFE5C-D06D-4B06-90BD-4C03BA9052C8}"/>
    <cellStyle name="Normal 5 3 4 2 3 2 2 3" xfId="24240" xr:uid="{DB9C6330-E8DB-4A0E-BF19-9C6E81251DF8}"/>
    <cellStyle name="Normal 5 3 4 2 3 2 3" xfId="11594" xr:uid="{53F2127D-2140-4468-BB74-B87A209D1187}"/>
    <cellStyle name="Normal 5 3 4 2 3 2 4" xfId="20023" xr:uid="{873490C8-9323-479E-9896-C836F2B7C5EE}"/>
    <cellStyle name="Normal 5 3 4 2 3 3" xfId="5238" xr:uid="{00000000-0005-0000-0000-00002C1A0000}"/>
    <cellStyle name="Normal 5 3 4 2 3 3 2" xfId="13667" xr:uid="{E8C52091-7382-4D73-8A0A-5749C6025B81}"/>
    <cellStyle name="Normal 5 3 4 2 3 3 3" xfId="22095" xr:uid="{434DB623-02BC-493D-B20D-891711F0F2D4}"/>
    <cellStyle name="Normal 5 3 4 2 3 4" xfId="9449" xr:uid="{CEFEEACA-4A32-48FA-A5B6-94CAF21A8112}"/>
    <cellStyle name="Normal 5 3 4 2 3 5" xfId="17878" xr:uid="{BD28D8C3-37BD-42ED-BE66-688D9705B20E}"/>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25" xr:uid="{990BBAE3-27C8-437C-953C-CDCAA51877E7}"/>
    <cellStyle name="Normal 5 3 4 2 4 2 2 3" xfId="24653" xr:uid="{7BE909BA-1746-43DF-B84A-D2CC1D13978A}"/>
    <cellStyle name="Normal 5 3 4 2 4 2 3" xfId="12007" xr:uid="{5D26E677-384F-4995-8C1F-98F0DA9F4398}"/>
    <cellStyle name="Normal 5 3 4 2 4 2 4" xfId="20436" xr:uid="{096DE61F-2240-4A0B-9C6C-B7483765F80C}"/>
    <cellStyle name="Normal 5 3 4 2 4 3" xfId="5651" xr:uid="{00000000-0005-0000-0000-0000301A0000}"/>
    <cellStyle name="Normal 5 3 4 2 4 3 2" xfId="14080" xr:uid="{7E6180A3-0BC5-4448-A985-A3C083515743}"/>
    <cellStyle name="Normal 5 3 4 2 4 3 3" xfId="22508" xr:uid="{D49CD62A-A3B4-4616-BB46-D06A0CB22543}"/>
    <cellStyle name="Normal 5 3 4 2 4 4" xfId="9862" xr:uid="{6B7E5B9E-050B-47C4-A213-C2FA9C64E012}"/>
    <cellStyle name="Normal 5 3 4 2 4 5" xfId="18291" xr:uid="{77F9FFF5-726D-42FD-AF0F-C7B4B67C7BC8}"/>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8" xr:uid="{1FC37886-5CD6-4F0A-8152-CAD432C738F0}"/>
    <cellStyle name="Normal 5 3 4 2 5 2 2 3" xfId="25066" xr:uid="{1AB3BF80-3C40-45C1-B0F8-5316525B4222}"/>
    <cellStyle name="Normal 5 3 4 2 5 2 3" xfId="12420" xr:uid="{27B4FD21-41B5-4198-8784-E8576ABEAFF5}"/>
    <cellStyle name="Normal 5 3 4 2 5 2 4" xfId="20849" xr:uid="{4C00D690-6325-414A-9B02-591888A0F148}"/>
    <cellStyle name="Normal 5 3 4 2 5 3" xfId="6064" xr:uid="{00000000-0005-0000-0000-0000341A0000}"/>
    <cellStyle name="Normal 5 3 4 2 5 3 2" xfId="14493" xr:uid="{7A21E6FE-C914-4810-82C4-EC391EBD894C}"/>
    <cellStyle name="Normal 5 3 4 2 5 3 3" xfId="22921" xr:uid="{BC659BA0-E6B0-4C84-ABF8-B65EE7F932AF}"/>
    <cellStyle name="Normal 5 3 4 2 5 4" xfId="10275" xr:uid="{0C42ED4E-4886-4BCE-B0B6-2804BAEF8331}"/>
    <cellStyle name="Normal 5 3 4 2 5 5" xfId="18704" xr:uid="{FDD68472-BD9D-4D2C-91C4-10877B1A6B4F}"/>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51" xr:uid="{398AEF72-E938-4AD3-B52F-6771B996B231}"/>
    <cellStyle name="Normal 5 3 4 2 6 2 2 3" xfId="25479" xr:uid="{9BA9E630-8D87-4E71-9E78-7795C0A64FFB}"/>
    <cellStyle name="Normal 5 3 4 2 6 2 3" xfId="12833" xr:uid="{B746BE26-F85E-435D-996B-C6D5B2B54BB4}"/>
    <cellStyle name="Normal 5 3 4 2 6 2 4" xfId="21262" xr:uid="{D5E8BC16-9C2A-41E8-A0FC-5935963051C9}"/>
    <cellStyle name="Normal 5 3 4 2 6 3" xfId="6477" xr:uid="{00000000-0005-0000-0000-0000381A0000}"/>
    <cellStyle name="Normal 5 3 4 2 6 3 2" xfId="14906" xr:uid="{672D29D2-0589-4FA5-A881-2F036EDA7CE5}"/>
    <cellStyle name="Normal 5 3 4 2 6 3 3" xfId="23334" xr:uid="{14153798-A0BC-483F-9F4F-DD0A2A285491}"/>
    <cellStyle name="Normal 5 3 4 2 6 4" xfId="10688" xr:uid="{33108FEE-D1F6-423A-83E8-586212EC4472}"/>
    <cellStyle name="Normal 5 3 4 2 6 5" xfId="19117" xr:uid="{49C9BD57-6E90-4BD9-A462-80DEBAC3CFAE}"/>
    <cellStyle name="Normal 5 3 4 2 7" xfId="2605" xr:uid="{00000000-0005-0000-0000-0000391A0000}"/>
    <cellStyle name="Normal 5 3 4 2 7 2" xfId="6890" xr:uid="{00000000-0005-0000-0000-00003A1A0000}"/>
    <cellStyle name="Normal 5 3 4 2 7 2 2" xfId="15319" xr:uid="{21048022-978E-4BFE-8FD9-F923B34F431E}"/>
    <cellStyle name="Normal 5 3 4 2 7 2 3" xfId="23747" xr:uid="{F7F3C8E2-4458-4562-A301-C9D33F04E86D}"/>
    <cellStyle name="Normal 5 3 4 2 7 3" xfId="11101" xr:uid="{A62D71C0-478C-4DD1-9F30-7C2F9EFB61AD}"/>
    <cellStyle name="Normal 5 3 4 2 7 4" xfId="19530" xr:uid="{50055C62-0180-44DA-91AC-B38F334E2DA4}"/>
    <cellStyle name="Normal 5 3 4 2 8" xfId="4825" xr:uid="{00000000-0005-0000-0000-00003B1A0000}"/>
    <cellStyle name="Normal 5 3 4 2 8 2" xfId="13254" xr:uid="{170AEC25-4ADA-4171-AE01-42C6083F9846}"/>
    <cellStyle name="Normal 5 3 4 2 8 3" xfId="21682" xr:uid="{1C9BE52F-9EF3-4415-8379-D23B03C181EC}"/>
    <cellStyle name="Normal 5 3 4 2 9" xfId="9036" xr:uid="{F1DAD486-4CE1-48E5-AC32-DCA62FAB93DA}"/>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14" xr:uid="{625C8305-5570-4F48-8DC4-B70CC8B0ED23}"/>
    <cellStyle name="Normal 5 3 4 3 2 2 2 3" xfId="24242" xr:uid="{5C6B2E63-06A6-4D64-89F3-4DD5F49CB7BC}"/>
    <cellStyle name="Normal 5 3 4 3 2 2 3" xfId="11596" xr:uid="{D12DAE7F-9D19-439C-B724-CEA9E7327DF0}"/>
    <cellStyle name="Normal 5 3 4 3 2 2 4" xfId="20025" xr:uid="{8DBF5B45-7FFD-49BD-8694-E02E6A28F440}"/>
    <cellStyle name="Normal 5 3 4 3 2 3" xfId="5240" xr:uid="{00000000-0005-0000-0000-0000401A0000}"/>
    <cellStyle name="Normal 5 3 4 3 2 3 2" xfId="13669" xr:uid="{2339C14A-1985-4B98-9E84-727C65A0FFDD}"/>
    <cellStyle name="Normal 5 3 4 3 2 3 3" xfId="22097" xr:uid="{A2E55F8B-1521-4D63-AF6D-6EE367FF9FEF}"/>
    <cellStyle name="Normal 5 3 4 3 2 4" xfId="9451" xr:uid="{54110166-AA2C-4821-8B9A-06AF8CA8B4E8}"/>
    <cellStyle name="Normal 5 3 4 3 2 5" xfId="17880" xr:uid="{48DD271A-3083-43D7-ABAC-D1B575BCFB83}"/>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7" xr:uid="{0A5C866E-4ED0-4BE3-B59B-86E3C27C4611}"/>
    <cellStyle name="Normal 5 3 4 3 3 2 2 3" xfId="24655" xr:uid="{9B6E45CB-4728-4DE2-B346-0E73F283C7A3}"/>
    <cellStyle name="Normal 5 3 4 3 3 2 3" xfId="12009" xr:uid="{50DC4162-2293-401C-A65F-FB87A46D78A7}"/>
    <cellStyle name="Normal 5 3 4 3 3 2 4" xfId="20438" xr:uid="{FA07F146-F65D-4031-B920-C3D9D17CA09E}"/>
    <cellStyle name="Normal 5 3 4 3 3 3" xfId="5653" xr:uid="{00000000-0005-0000-0000-0000441A0000}"/>
    <cellStyle name="Normal 5 3 4 3 3 3 2" xfId="14082" xr:uid="{4877AAC0-F536-4315-AB9F-ED687E39239D}"/>
    <cellStyle name="Normal 5 3 4 3 3 3 3" xfId="22510" xr:uid="{05975A0F-4C3B-49C1-A5B0-7F265BC3DE86}"/>
    <cellStyle name="Normal 5 3 4 3 3 4" xfId="9864" xr:uid="{828BEA1D-3A70-450B-AAF4-F7C67BE4A5F3}"/>
    <cellStyle name="Normal 5 3 4 3 3 5" xfId="18293" xr:uid="{F323765D-7F2A-4070-A6B2-B1868790C6E9}"/>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40" xr:uid="{6BA0200D-A4E1-42A7-B5C6-38C7E689CB1F}"/>
    <cellStyle name="Normal 5 3 4 3 4 2 2 3" xfId="25068" xr:uid="{74FBB8B1-BFEE-4CCB-B615-B946008EFA11}"/>
    <cellStyle name="Normal 5 3 4 3 4 2 3" xfId="12422" xr:uid="{B114CF9C-BE77-4904-B884-13043C9B6EDD}"/>
    <cellStyle name="Normal 5 3 4 3 4 2 4" xfId="20851" xr:uid="{A178E808-E2E5-43A3-B6B5-46D3377B378D}"/>
    <cellStyle name="Normal 5 3 4 3 4 3" xfId="6066" xr:uid="{00000000-0005-0000-0000-0000481A0000}"/>
    <cellStyle name="Normal 5 3 4 3 4 3 2" xfId="14495" xr:uid="{130B3932-DDCF-421E-822C-5C33175F0DA7}"/>
    <cellStyle name="Normal 5 3 4 3 4 3 3" xfId="22923" xr:uid="{5B218CF2-0D24-4602-BE5B-7CC881ACE529}"/>
    <cellStyle name="Normal 5 3 4 3 4 4" xfId="10277" xr:uid="{DFEB3B4F-8023-414B-8729-6D4FC6BF7D02}"/>
    <cellStyle name="Normal 5 3 4 3 4 5" xfId="18706" xr:uid="{58B34B59-EAFD-4884-972C-F7F9169EBDF3}"/>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53" xr:uid="{FC041A45-DEF1-411D-80F4-7BDCFB7AB731}"/>
    <cellStyle name="Normal 5 3 4 3 5 2 2 3" xfId="25481" xr:uid="{58BB7E35-22EF-40CA-B070-05A74F125A26}"/>
    <cellStyle name="Normal 5 3 4 3 5 2 3" xfId="12835" xr:uid="{26DAB2E2-BEC2-44E8-AD44-747980ADFC55}"/>
    <cellStyle name="Normal 5 3 4 3 5 2 4" xfId="21264" xr:uid="{DC02B908-ACD5-41E8-BBDB-6A9EBCBBB739}"/>
    <cellStyle name="Normal 5 3 4 3 5 3" xfId="6479" xr:uid="{00000000-0005-0000-0000-00004C1A0000}"/>
    <cellStyle name="Normal 5 3 4 3 5 3 2" xfId="14908" xr:uid="{E9230E02-2282-4C2F-8AA0-C1A600D14075}"/>
    <cellStyle name="Normal 5 3 4 3 5 3 3" xfId="23336" xr:uid="{BA696181-6F87-44D4-B36F-8BE2F490753B}"/>
    <cellStyle name="Normal 5 3 4 3 5 4" xfId="10690" xr:uid="{7F08F529-968A-4B8A-9632-532E0B5CB9AF}"/>
    <cellStyle name="Normal 5 3 4 3 5 5" xfId="19119" xr:uid="{D07CCE11-4074-46C2-ADBD-A40993962AE5}"/>
    <cellStyle name="Normal 5 3 4 3 6" xfId="2607" xr:uid="{00000000-0005-0000-0000-00004D1A0000}"/>
    <cellStyle name="Normal 5 3 4 3 6 2" xfId="6892" xr:uid="{00000000-0005-0000-0000-00004E1A0000}"/>
    <cellStyle name="Normal 5 3 4 3 6 2 2" xfId="15321" xr:uid="{4BFFD9A9-49DD-4265-919F-F5E935843979}"/>
    <cellStyle name="Normal 5 3 4 3 6 2 3" xfId="23749" xr:uid="{568C3AE0-28F0-48AD-A829-68796C7E0F00}"/>
    <cellStyle name="Normal 5 3 4 3 6 3" xfId="11103" xr:uid="{7EE9FD6E-6B5F-47D0-B4F3-98B07EAAEB3F}"/>
    <cellStyle name="Normal 5 3 4 3 6 4" xfId="19532" xr:uid="{1CA214E2-8165-469F-AACE-866A997343A5}"/>
    <cellStyle name="Normal 5 3 4 3 7" xfId="4827" xr:uid="{00000000-0005-0000-0000-00004F1A0000}"/>
    <cellStyle name="Normal 5 3 4 3 7 2" xfId="13256" xr:uid="{D72CF345-7753-4CA1-8871-0033061A6E21}"/>
    <cellStyle name="Normal 5 3 4 3 7 3" xfId="21684" xr:uid="{24930500-BEF6-4328-8758-FE58F57E9D01}"/>
    <cellStyle name="Normal 5 3 4 3 8" xfId="9038" xr:uid="{8E8331AD-9D04-434A-AFF2-A12B34B3C59A}"/>
    <cellStyle name="Normal 5 3 4 3 9" xfId="17467" xr:uid="{DAEC681D-80BA-4DE0-833F-42E832F459B9}"/>
    <cellStyle name="Normal 5 3 4 4" xfId="924" xr:uid="{00000000-0005-0000-0000-0000501A0000}"/>
    <cellStyle name="Normal 5 3 4 4 2" xfId="3158" xr:uid="{00000000-0005-0000-0000-0000511A0000}"/>
    <cellStyle name="Normal 5 3 4 4 2 2" xfId="7382" xr:uid="{00000000-0005-0000-0000-0000521A0000}"/>
    <cellStyle name="Normal 5 3 4 4 2 2 2" xfId="15811" xr:uid="{91CC4F50-587C-4527-9788-74E07EDD9B41}"/>
    <cellStyle name="Normal 5 3 4 4 2 2 3" xfId="24239" xr:uid="{AA1AE7A4-3FB6-4B79-AEA1-7F4B46CE003A}"/>
    <cellStyle name="Normal 5 3 4 4 2 3" xfId="11593" xr:uid="{9309539A-61BE-476B-9DA1-7A6CDE0E3435}"/>
    <cellStyle name="Normal 5 3 4 4 2 4" xfId="20022" xr:uid="{1011AE10-9B9C-491D-98A4-4869A3236BF2}"/>
    <cellStyle name="Normal 5 3 4 4 3" xfId="5237" xr:uid="{00000000-0005-0000-0000-0000531A0000}"/>
    <cellStyle name="Normal 5 3 4 4 3 2" xfId="13666" xr:uid="{1473FD56-EF34-4833-8515-E28AB6C7D93D}"/>
    <cellStyle name="Normal 5 3 4 4 3 3" xfId="22094" xr:uid="{9419537C-BF9B-48E0-AC67-C36711CABE34}"/>
    <cellStyle name="Normal 5 3 4 4 4" xfId="9448" xr:uid="{4B63EFAB-2681-436B-A397-224893111C73}"/>
    <cellStyle name="Normal 5 3 4 4 5" xfId="17877" xr:uid="{D6A83F95-829C-4223-9E93-5CD2C7E72E40}"/>
    <cellStyle name="Normal 5 3 4 5" xfId="1341" xr:uid="{00000000-0005-0000-0000-0000541A0000}"/>
    <cellStyle name="Normal 5 3 4 5 2" xfId="3571" xr:uid="{00000000-0005-0000-0000-0000551A0000}"/>
    <cellStyle name="Normal 5 3 4 5 2 2" xfId="7795" xr:uid="{00000000-0005-0000-0000-0000561A0000}"/>
    <cellStyle name="Normal 5 3 4 5 2 2 2" xfId="16224" xr:uid="{60874A7E-CD30-4BB9-AA7F-29DD61BC99B7}"/>
    <cellStyle name="Normal 5 3 4 5 2 2 3" xfId="24652" xr:uid="{69880ACA-A449-48A0-B6A8-B4304CD2173A}"/>
    <cellStyle name="Normal 5 3 4 5 2 3" xfId="12006" xr:uid="{E6BA085B-5647-4620-80F7-7634A75D0657}"/>
    <cellStyle name="Normal 5 3 4 5 2 4" xfId="20435" xr:uid="{B14CD6CE-7094-4276-925C-6FA794C11FAE}"/>
    <cellStyle name="Normal 5 3 4 5 3" xfId="5650" xr:uid="{00000000-0005-0000-0000-0000571A0000}"/>
    <cellStyle name="Normal 5 3 4 5 3 2" xfId="14079" xr:uid="{99AE5577-6D87-4D17-A062-F65FEACCC951}"/>
    <cellStyle name="Normal 5 3 4 5 3 3" xfId="22507" xr:uid="{3886CE99-7557-4D06-A0AF-535020753891}"/>
    <cellStyle name="Normal 5 3 4 5 4" xfId="9861" xr:uid="{E70F7E07-D8F9-4E0F-9DF5-63AF1AF41BE2}"/>
    <cellStyle name="Normal 5 3 4 5 5" xfId="18290" xr:uid="{E19C1DA5-383B-478E-AA40-5BD0D2A96285}"/>
    <cellStyle name="Normal 5 3 4 6" xfId="1754" xr:uid="{00000000-0005-0000-0000-0000581A0000}"/>
    <cellStyle name="Normal 5 3 4 6 2" xfId="3984" xr:uid="{00000000-0005-0000-0000-0000591A0000}"/>
    <cellStyle name="Normal 5 3 4 6 2 2" xfId="8208" xr:uid="{00000000-0005-0000-0000-00005A1A0000}"/>
    <cellStyle name="Normal 5 3 4 6 2 2 2" xfId="16637" xr:uid="{6B4DC921-71ED-4068-8642-E8106F2D5233}"/>
    <cellStyle name="Normal 5 3 4 6 2 2 3" xfId="25065" xr:uid="{3C4B863A-3256-45C5-AB47-7F65AA406779}"/>
    <cellStyle name="Normal 5 3 4 6 2 3" xfId="12419" xr:uid="{3C836E5C-DFD5-4DA7-B421-243CE573CA1B}"/>
    <cellStyle name="Normal 5 3 4 6 2 4" xfId="20848" xr:uid="{704DB793-26B9-4A8E-8A65-C6B417DB8D8E}"/>
    <cellStyle name="Normal 5 3 4 6 3" xfId="6063" xr:uid="{00000000-0005-0000-0000-00005B1A0000}"/>
    <cellStyle name="Normal 5 3 4 6 3 2" xfId="14492" xr:uid="{431BC692-9B36-4B08-94BD-D0B1131F8B85}"/>
    <cellStyle name="Normal 5 3 4 6 3 3" xfId="22920" xr:uid="{426FEFB5-D52B-42BD-8A9C-1C7915FD156B}"/>
    <cellStyle name="Normal 5 3 4 6 4" xfId="10274" xr:uid="{05191B24-F58E-428C-8393-41D1BC8CDD68}"/>
    <cellStyle name="Normal 5 3 4 6 5" xfId="18703" xr:uid="{A20C403E-D9D8-4514-848B-A81625FDD386}"/>
    <cellStyle name="Normal 5 3 4 7" xfId="2168" xr:uid="{00000000-0005-0000-0000-00005C1A0000}"/>
    <cellStyle name="Normal 5 3 4 7 2" xfId="4397" xr:uid="{00000000-0005-0000-0000-00005D1A0000}"/>
    <cellStyle name="Normal 5 3 4 7 2 2" xfId="8621" xr:uid="{00000000-0005-0000-0000-00005E1A0000}"/>
    <cellStyle name="Normal 5 3 4 7 2 2 2" xfId="17050" xr:uid="{DA2F0FFA-2512-4439-A446-E343D964016A}"/>
    <cellStyle name="Normal 5 3 4 7 2 2 3" xfId="25478" xr:uid="{8A354ECD-261A-45CB-B745-A55D623694C3}"/>
    <cellStyle name="Normal 5 3 4 7 2 3" xfId="12832" xr:uid="{6F0138EA-F5BE-4DDD-B328-BB536ABA2EF7}"/>
    <cellStyle name="Normal 5 3 4 7 2 4" xfId="21261" xr:uid="{322515BC-98C9-4179-B7D5-D41F1C94C505}"/>
    <cellStyle name="Normal 5 3 4 7 3" xfId="6476" xr:uid="{00000000-0005-0000-0000-00005F1A0000}"/>
    <cellStyle name="Normal 5 3 4 7 3 2" xfId="14905" xr:uid="{5EB643DE-AEAC-4E46-BC46-29AE9A30DB1A}"/>
    <cellStyle name="Normal 5 3 4 7 3 3" xfId="23333" xr:uid="{113EAA12-05DA-46C0-B8D1-076A12643C0E}"/>
    <cellStyle name="Normal 5 3 4 7 4" xfId="10687" xr:uid="{EB8C9A54-355F-43AD-9FBA-4CCC6DFD09F7}"/>
    <cellStyle name="Normal 5 3 4 7 5" xfId="19116" xr:uid="{DFAEE835-A22D-4530-8C3C-E59DA31D0F43}"/>
    <cellStyle name="Normal 5 3 4 8" xfId="2604" xr:uid="{00000000-0005-0000-0000-0000601A0000}"/>
    <cellStyle name="Normal 5 3 4 8 2" xfId="6889" xr:uid="{00000000-0005-0000-0000-0000611A0000}"/>
    <cellStyle name="Normal 5 3 4 8 2 2" xfId="15318" xr:uid="{F3319510-F3DB-4E1F-B96A-FC25E3EE6499}"/>
    <cellStyle name="Normal 5 3 4 8 2 3" xfId="23746" xr:uid="{47B48061-E019-4922-B04E-C28FD8FDE0E6}"/>
    <cellStyle name="Normal 5 3 4 8 3" xfId="11100" xr:uid="{2EA8555C-93AC-4B5C-9654-DDCAE9FD1D7C}"/>
    <cellStyle name="Normal 5 3 4 8 4" xfId="19529" xr:uid="{F95F4646-2A6C-4B2E-B97E-9EBEDFCA1FB1}"/>
    <cellStyle name="Normal 5 3 4 9" xfId="4824" xr:uid="{00000000-0005-0000-0000-0000621A0000}"/>
    <cellStyle name="Normal 5 3 4 9 2" xfId="13253" xr:uid="{61387F22-C786-476B-B363-0F325FB41EF2}"/>
    <cellStyle name="Normal 5 3 4 9 3" xfId="21681" xr:uid="{764C7B41-59BF-4A7F-BBBF-87D23A21C978}"/>
    <cellStyle name="Normal 5 3 5" xfId="453" xr:uid="{00000000-0005-0000-0000-0000631A0000}"/>
    <cellStyle name="Normal 5 3 5 10" xfId="17468" xr:uid="{93A8B0FB-F7ED-465E-8728-05D95C4CA54B}"/>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16" xr:uid="{D9471D23-077A-48C6-8F36-01A78EA5EC3E}"/>
    <cellStyle name="Normal 5 3 5 2 2 2 2 3" xfId="24244" xr:uid="{1B54AAE3-A78F-4BEB-8A1B-F4D752F59552}"/>
    <cellStyle name="Normal 5 3 5 2 2 2 3" xfId="11598" xr:uid="{40F7B60E-0CA5-4382-8225-C6E10FC2648A}"/>
    <cellStyle name="Normal 5 3 5 2 2 2 4" xfId="20027" xr:uid="{793F30A3-FBEB-473D-8936-B8A152ECD130}"/>
    <cellStyle name="Normal 5 3 5 2 2 3" xfId="5242" xr:uid="{00000000-0005-0000-0000-0000681A0000}"/>
    <cellStyle name="Normal 5 3 5 2 2 3 2" xfId="13671" xr:uid="{7A7A8BAD-A3BC-49F0-B467-78E074F2C9C0}"/>
    <cellStyle name="Normal 5 3 5 2 2 3 3" xfId="22099" xr:uid="{FD6DC06D-E860-488A-8F12-87B727154EED}"/>
    <cellStyle name="Normal 5 3 5 2 2 4" xfId="9453" xr:uid="{D426F560-DD21-4886-8AC9-5625E6707971}"/>
    <cellStyle name="Normal 5 3 5 2 2 5" xfId="17882" xr:uid="{B1484BFF-B212-4A91-A193-164D07E4B294}"/>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9" xr:uid="{BA18F920-6518-4D30-A1CD-C69B8D2E4E66}"/>
    <cellStyle name="Normal 5 3 5 2 3 2 2 3" xfId="24657" xr:uid="{F33FFAEF-AB28-4CF7-8A3C-0BE3D4D310C9}"/>
    <cellStyle name="Normal 5 3 5 2 3 2 3" xfId="12011" xr:uid="{C13393B4-6376-4907-A10F-E2E9C4F160C4}"/>
    <cellStyle name="Normal 5 3 5 2 3 2 4" xfId="20440" xr:uid="{ED93BD7D-6D57-4FCD-963C-3831218ECD6E}"/>
    <cellStyle name="Normal 5 3 5 2 3 3" xfId="5655" xr:uid="{00000000-0005-0000-0000-00006C1A0000}"/>
    <cellStyle name="Normal 5 3 5 2 3 3 2" xfId="14084" xr:uid="{74EAF920-05F5-43EE-BEF2-752C5BF499C8}"/>
    <cellStyle name="Normal 5 3 5 2 3 3 3" xfId="22512" xr:uid="{4ECE3923-9A54-4ABF-8764-D396D9B7BF94}"/>
    <cellStyle name="Normal 5 3 5 2 3 4" xfId="9866" xr:uid="{90A67AD9-5B3A-4F8C-A9B1-C40F523DA5E6}"/>
    <cellStyle name="Normal 5 3 5 2 3 5" xfId="18295" xr:uid="{5B30DECD-5011-4751-9E5F-B34220DA02D5}"/>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42" xr:uid="{0AC21A79-F665-422A-9E50-FBC5E870AAA9}"/>
    <cellStyle name="Normal 5 3 5 2 4 2 2 3" xfId="25070" xr:uid="{07C08C81-FE91-4E95-9374-CE3CD333D539}"/>
    <cellStyle name="Normal 5 3 5 2 4 2 3" xfId="12424" xr:uid="{A458BAEC-093B-4A70-9134-90225E7F283D}"/>
    <cellStyle name="Normal 5 3 5 2 4 2 4" xfId="20853" xr:uid="{3E234344-63CC-40AD-B9FF-2A61B7C5D09A}"/>
    <cellStyle name="Normal 5 3 5 2 4 3" xfId="6068" xr:uid="{00000000-0005-0000-0000-0000701A0000}"/>
    <cellStyle name="Normal 5 3 5 2 4 3 2" xfId="14497" xr:uid="{790DE130-0070-4ABB-9886-5CC793275755}"/>
    <cellStyle name="Normal 5 3 5 2 4 3 3" xfId="22925" xr:uid="{C9763D31-8F7E-485D-B34F-049C24996ACF}"/>
    <cellStyle name="Normal 5 3 5 2 4 4" xfId="10279" xr:uid="{30AD09C1-808D-4808-8D4F-FB50782D568A}"/>
    <cellStyle name="Normal 5 3 5 2 4 5" xfId="18708" xr:uid="{1FE69D8F-07F9-46AB-865F-8C477BCBFA68}"/>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55" xr:uid="{E64EC741-85FF-4E80-8AFB-0839AA904116}"/>
    <cellStyle name="Normal 5 3 5 2 5 2 2 3" xfId="25483" xr:uid="{BA9440C0-42AF-400D-AF93-294CB2BAB853}"/>
    <cellStyle name="Normal 5 3 5 2 5 2 3" xfId="12837" xr:uid="{3138D11D-33CF-4461-B0B0-E2B4EE91152D}"/>
    <cellStyle name="Normal 5 3 5 2 5 2 4" xfId="21266" xr:uid="{3D3EBA5E-82CE-4ED3-9C7C-46F5ACDB8F39}"/>
    <cellStyle name="Normal 5 3 5 2 5 3" xfId="6481" xr:uid="{00000000-0005-0000-0000-0000741A0000}"/>
    <cellStyle name="Normal 5 3 5 2 5 3 2" xfId="14910" xr:uid="{91A71583-D86E-4968-BD2A-6F3A415AB53B}"/>
    <cellStyle name="Normal 5 3 5 2 5 3 3" xfId="23338" xr:uid="{C27EBF63-2368-4351-B9F8-F21F00F4A7D2}"/>
    <cellStyle name="Normal 5 3 5 2 5 4" xfId="10692" xr:uid="{D2AE43A8-4956-444E-9ED7-B9B8F1C3888D}"/>
    <cellStyle name="Normal 5 3 5 2 5 5" xfId="19121" xr:uid="{1C184264-F0C3-4D5F-9A0F-C92F0514F3AE}"/>
    <cellStyle name="Normal 5 3 5 2 6" xfId="2609" xr:uid="{00000000-0005-0000-0000-0000751A0000}"/>
    <cellStyle name="Normal 5 3 5 2 6 2" xfId="6894" xr:uid="{00000000-0005-0000-0000-0000761A0000}"/>
    <cellStyle name="Normal 5 3 5 2 6 2 2" xfId="15323" xr:uid="{F107C387-DA70-443B-B974-6BB30FDEBB56}"/>
    <cellStyle name="Normal 5 3 5 2 6 2 3" xfId="23751" xr:uid="{9E421DF8-6EC1-4081-ABAC-7A281524651E}"/>
    <cellStyle name="Normal 5 3 5 2 6 3" xfId="11105" xr:uid="{4C0DEAA2-F718-45D3-AF56-87185F49AE4C}"/>
    <cellStyle name="Normal 5 3 5 2 6 4" xfId="19534" xr:uid="{6647930C-8DDF-4022-B224-D9C67D5EB008}"/>
    <cellStyle name="Normal 5 3 5 2 7" xfId="4829" xr:uid="{00000000-0005-0000-0000-0000771A0000}"/>
    <cellStyle name="Normal 5 3 5 2 7 2" xfId="13258" xr:uid="{9F511A7F-C9CB-4FF3-9AD5-0A65F1917B8E}"/>
    <cellStyle name="Normal 5 3 5 2 7 3" xfId="21686" xr:uid="{8ACDFA04-537B-4885-B67F-FCEFC7A5389E}"/>
    <cellStyle name="Normal 5 3 5 2 8" xfId="9040" xr:uid="{C5C7CE30-5A8C-4CF9-944C-5BD7104F502C}"/>
    <cellStyle name="Normal 5 3 5 2 9" xfId="17469" xr:uid="{5CD71252-36C4-4ECA-A169-0C7988A3ADBC}"/>
    <cellStyle name="Normal 5 3 5 3" xfId="928" xr:uid="{00000000-0005-0000-0000-0000781A0000}"/>
    <cellStyle name="Normal 5 3 5 3 2" xfId="3162" xr:uid="{00000000-0005-0000-0000-0000791A0000}"/>
    <cellStyle name="Normal 5 3 5 3 2 2" xfId="7386" xr:uid="{00000000-0005-0000-0000-00007A1A0000}"/>
    <cellStyle name="Normal 5 3 5 3 2 2 2" xfId="15815" xr:uid="{E3F5F915-E00D-4D80-A820-541F2BB6EAB0}"/>
    <cellStyle name="Normal 5 3 5 3 2 2 3" xfId="24243" xr:uid="{F75D16C6-6A84-4814-81DF-ABD100A0F0EB}"/>
    <cellStyle name="Normal 5 3 5 3 2 3" xfId="11597" xr:uid="{2EBD2042-C79C-4943-8C8A-D02D82CCFAEF}"/>
    <cellStyle name="Normal 5 3 5 3 2 4" xfId="20026" xr:uid="{8F4B83AC-6992-42CF-BBCD-040F50196994}"/>
    <cellStyle name="Normal 5 3 5 3 3" xfId="5241" xr:uid="{00000000-0005-0000-0000-00007B1A0000}"/>
    <cellStyle name="Normal 5 3 5 3 3 2" xfId="13670" xr:uid="{24A92948-F4B1-4DC5-87DF-7380DB8EA380}"/>
    <cellStyle name="Normal 5 3 5 3 3 3" xfId="22098" xr:uid="{B7EE105A-04E4-49DD-869D-97F9B3349B3D}"/>
    <cellStyle name="Normal 5 3 5 3 4" xfId="9452" xr:uid="{78BD5F23-0BDC-4C4D-8A4D-47F392CFC7BF}"/>
    <cellStyle name="Normal 5 3 5 3 5" xfId="17881" xr:uid="{DE840D61-E226-4A97-8A7A-36A7051107F8}"/>
    <cellStyle name="Normal 5 3 5 4" xfId="1345" xr:uid="{00000000-0005-0000-0000-00007C1A0000}"/>
    <cellStyle name="Normal 5 3 5 4 2" xfId="3575" xr:uid="{00000000-0005-0000-0000-00007D1A0000}"/>
    <cellStyle name="Normal 5 3 5 4 2 2" xfId="7799" xr:uid="{00000000-0005-0000-0000-00007E1A0000}"/>
    <cellStyle name="Normal 5 3 5 4 2 2 2" xfId="16228" xr:uid="{76EBB0A2-60BE-4063-BBEE-2D77D3D788D3}"/>
    <cellStyle name="Normal 5 3 5 4 2 2 3" xfId="24656" xr:uid="{B9384509-5E66-44CA-8298-B3206D705DB8}"/>
    <cellStyle name="Normal 5 3 5 4 2 3" xfId="12010" xr:uid="{204026B8-04D3-492B-BF74-63BC7F9AE5D7}"/>
    <cellStyle name="Normal 5 3 5 4 2 4" xfId="20439" xr:uid="{50D0DA90-99D6-4E6A-B33F-CD23B6BC5D31}"/>
    <cellStyle name="Normal 5 3 5 4 3" xfId="5654" xr:uid="{00000000-0005-0000-0000-00007F1A0000}"/>
    <cellStyle name="Normal 5 3 5 4 3 2" xfId="14083" xr:uid="{EF5DF5FE-A718-458A-9889-995F074DA0C6}"/>
    <cellStyle name="Normal 5 3 5 4 3 3" xfId="22511" xr:uid="{27B57B7E-094A-4803-89C0-ED4FB658D92A}"/>
    <cellStyle name="Normal 5 3 5 4 4" xfId="9865" xr:uid="{F66B807B-06EA-4053-B228-C1D6C2DD5A01}"/>
    <cellStyle name="Normal 5 3 5 4 5" xfId="18294" xr:uid="{575CDF44-C02B-4807-A822-592575CDBF99}"/>
    <cellStyle name="Normal 5 3 5 5" xfId="1758" xr:uid="{00000000-0005-0000-0000-0000801A0000}"/>
    <cellStyle name="Normal 5 3 5 5 2" xfId="3988" xr:uid="{00000000-0005-0000-0000-0000811A0000}"/>
    <cellStyle name="Normal 5 3 5 5 2 2" xfId="8212" xr:uid="{00000000-0005-0000-0000-0000821A0000}"/>
    <cellStyle name="Normal 5 3 5 5 2 2 2" xfId="16641" xr:uid="{BD140E0F-E22D-48B6-81A2-6B225A76D89F}"/>
    <cellStyle name="Normal 5 3 5 5 2 2 3" xfId="25069" xr:uid="{2C44E8E2-1474-452E-8E96-2311E6E20532}"/>
    <cellStyle name="Normal 5 3 5 5 2 3" xfId="12423" xr:uid="{CA6B7696-BA7E-4130-A28F-4CB8A4669CC7}"/>
    <cellStyle name="Normal 5 3 5 5 2 4" xfId="20852" xr:uid="{8FB1B27B-4F42-4659-A019-B4500AFD63EC}"/>
    <cellStyle name="Normal 5 3 5 5 3" xfId="6067" xr:uid="{00000000-0005-0000-0000-0000831A0000}"/>
    <cellStyle name="Normal 5 3 5 5 3 2" xfId="14496" xr:uid="{4F9D27DF-ED18-4C59-B937-ABCD17E5EFDF}"/>
    <cellStyle name="Normal 5 3 5 5 3 3" xfId="22924" xr:uid="{37B056EA-9E06-46B2-B52F-C7D96CD87589}"/>
    <cellStyle name="Normal 5 3 5 5 4" xfId="10278" xr:uid="{679B9CE7-D5C5-4126-9758-FF2C4DE0E513}"/>
    <cellStyle name="Normal 5 3 5 5 5" xfId="18707" xr:uid="{A626C6E3-1CF9-45D3-9918-A50EE10809D4}"/>
    <cellStyle name="Normal 5 3 5 6" xfId="2172" xr:uid="{00000000-0005-0000-0000-0000841A0000}"/>
    <cellStyle name="Normal 5 3 5 6 2" xfId="4401" xr:uid="{00000000-0005-0000-0000-0000851A0000}"/>
    <cellStyle name="Normal 5 3 5 6 2 2" xfId="8625" xr:uid="{00000000-0005-0000-0000-0000861A0000}"/>
    <cellStyle name="Normal 5 3 5 6 2 2 2" xfId="17054" xr:uid="{CD6734F2-5562-47BB-89C0-D79A680D0CC9}"/>
    <cellStyle name="Normal 5 3 5 6 2 2 3" xfId="25482" xr:uid="{2252778F-AB93-47EE-A97D-9D2A325FAFAF}"/>
    <cellStyle name="Normal 5 3 5 6 2 3" xfId="12836" xr:uid="{92474CB9-1D5F-4F1B-AA01-AA6783751EAC}"/>
    <cellStyle name="Normal 5 3 5 6 2 4" xfId="21265" xr:uid="{2F723072-C1E2-4DFF-8575-BD5CDD0DDA35}"/>
    <cellStyle name="Normal 5 3 5 6 3" xfId="6480" xr:uid="{00000000-0005-0000-0000-0000871A0000}"/>
    <cellStyle name="Normal 5 3 5 6 3 2" xfId="14909" xr:uid="{748B4361-3846-41A5-9CE1-5FD979ACD65E}"/>
    <cellStyle name="Normal 5 3 5 6 3 3" xfId="23337" xr:uid="{530C02D1-27EA-4057-9707-E2C60099FECE}"/>
    <cellStyle name="Normal 5 3 5 6 4" xfId="10691" xr:uid="{3D443114-2766-481A-98DF-1ABCA2A874E9}"/>
    <cellStyle name="Normal 5 3 5 6 5" xfId="19120" xr:uid="{8A761410-C50C-4C14-A6B4-AA5CA7206F5C}"/>
    <cellStyle name="Normal 5 3 5 7" xfId="2608" xr:uid="{00000000-0005-0000-0000-0000881A0000}"/>
    <cellStyle name="Normal 5 3 5 7 2" xfId="6893" xr:uid="{00000000-0005-0000-0000-0000891A0000}"/>
    <cellStyle name="Normal 5 3 5 7 2 2" xfId="15322" xr:uid="{A0E64F41-E652-48F8-AB12-3DAB59638496}"/>
    <cellStyle name="Normal 5 3 5 7 2 3" xfId="23750" xr:uid="{3A40F5D8-B7E5-4694-AD23-B24A15830BDB}"/>
    <cellStyle name="Normal 5 3 5 7 3" xfId="11104" xr:uid="{F1D7B2CE-FC63-418C-898C-23086BD86624}"/>
    <cellStyle name="Normal 5 3 5 7 4" xfId="19533" xr:uid="{E4620B8F-774A-4CAC-AB85-BE9F5E45E9FC}"/>
    <cellStyle name="Normal 5 3 5 8" xfId="4828" xr:uid="{00000000-0005-0000-0000-00008A1A0000}"/>
    <cellStyle name="Normal 5 3 5 8 2" xfId="13257" xr:uid="{0A702896-BD5B-4331-92E6-DAA2668437A5}"/>
    <cellStyle name="Normal 5 3 5 8 3" xfId="21685" xr:uid="{C9D17A45-11DB-4EF9-99FE-F4B5CFDC2D23}"/>
    <cellStyle name="Normal 5 3 5 9" xfId="9039" xr:uid="{042CCF92-1902-4F8B-BEA5-2190654615DB}"/>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7" xr:uid="{5510B220-FF39-4CD4-B2C2-47E6552D1BC2}"/>
    <cellStyle name="Normal 5 3 6 2 2 2 3" xfId="24245" xr:uid="{431FA0B6-87A4-44A3-84A8-4635A6128AD7}"/>
    <cellStyle name="Normal 5 3 6 2 2 3" xfId="11599" xr:uid="{C7395DDA-591F-4AEB-85EE-C3CAAF2334BE}"/>
    <cellStyle name="Normal 5 3 6 2 2 4" xfId="20028" xr:uid="{5DF35217-6AC8-4133-B099-5961D8E857EC}"/>
    <cellStyle name="Normal 5 3 6 2 3" xfId="5243" xr:uid="{00000000-0005-0000-0000-00008F1A0000}"/>
    <cellStyle name="Normal 5 3 6 2 3 2" xfId="13672" xr:uid="{743CC011-C4B3-449F-833E-ABB4DF61ED93}"/>
    <cellStyle name="Normal 5 3 6 2 3 3" xfId="22100" xr:uid="{1BFF74C9-C543-4FBC-8493-62F018BBCBAD}"/>
    <cellStyle name="Normal 5 3 6 2 4" xfId="9454" xr:uid="{66213FD8-6A88-485C-8AD1-AE0A1593893D}"/>
    <cellStyle name="Normal 5 3 6 2 5" xfId="17883" xr:uid="{86D839FA-60D6-4AF4-92D7-461AD047CE2C}"/>
    <cellStyle name="Normal 5 3 6 3" xfId="1347" xr:uid="{00000000-0005-0000-0000-0000901A0000}"/>
    <cellStyle name="Normal 5 3 6 3 2" xfId="3577" xr:uid="{00000000-0005-0000-0000-0000911A0000}"/>
    <cellStyle name="Normal 5 3 6 3 2 2" xfId="7801" xr:uid="{00000000-0005-0000-0000-0000921A0000}"/>
    <cellStyle name="Normal 5 3 6 3 2 2 2" xfId="16230" xr:uid="{6604318C-BF38-46F1-8B87-3014583E3FD2}"/>
    <cellStyle name="Normal 5 3 6 3 2 2 3" xfId="24658" xr:uid="{454C178E-176A-4F01-82D9-627EFF46164A}"/>
    <cellStyle name="Normal 5 3 6 3 2 3" xfId="12012" xr:uid="{CA9A9708-01E4-45AC-A388-021D1C11F1A1}"/>
    <cellStyle name="Normal 5 3 6 3 2 4" xfId="20441" xr:uid="{E95DC018-5461-4EAC-B72C-5344194B1986}"/>
    <cellStyle name="Normal 5 3 6 3 3" xfId="5656" xr:uid="{00000000-0005-0000-0000-0000931A0000}"/>
    <cellStyle name="Normal 5 3 6 3 3 2" xfId="14085" xr:uid="{FA604B00-38A9-4AD6-82F9-3E3D9948EDB9}"/>
    <cellStyle name="Normal 5 3 6 3 3 3" xfId="22513" xr:uid="{036CBFC6-C648-4508-96BF-38169119FF87}"/>
    <cellStyle name="Normal 5 3 6 3 4" xfId="9867" xr:uid="{58BB5D6C-7905-4ABC-A2B1-5AC516181752}"/>
    <cellStyle name="Normal 5 3 6 3 5" xfId="18296" xr:uid="{C042C2B7-B30D-48B2-8BC0-EC1C405AECEF}"/>
    <cellStyle name="Normal 5 3 6 4" xfId="1760" xr:uid="{00000000-0005-0000-0000-0000941A0000}"/>
    <cellStyle name="Normal 5 3 6 4 2" xfId="3990" xr:uid="{00000000-0005-0000-0000-0000951A0000}"/>
    <cellStyle name="Normal 5 3 6 4 2 2" xfId="8214" xr:uid="{00000000-0005-0000-0000-0000961A0000}"/>
    <cellStyle name="Normal 5 3 6 4 2 2 2" xfId="16643" xr:uid="{A522BCD7-AF2F-4D33-ADB1-0F4C7814682D}"/>
    <cellStyle name="Normal 5 3 6 4 2 2 3" xfId="25071" xr:uid="{5F8596A5-AD01-4063-A35B-6AD7B1146D60}"/>
    <cellStyle name="Normal 5 3 6 4 2 3" xfId="12425" xr:uid="{27B410D1-146A-4455-A9C2-90FBFDB1CE74}"/>
    <cellStyle name="Normal 5 3 6 4 2 4" xfId="20854" xr:uid="{BBB97DA2-14E8-4DBE-8D10-4E825C6B8E26}"/>
    <cellStyle name="Normal 5 3 6 4 3" xfId="6069" xr:uid="{00000000-0005-0000-0000-0000971A0000}"/>
    <cellStyle name="Normal 5 3 6 4 3 2" xfId="14498" xr:uid="{03593D65-C21E-4A68-8D47-BBAF5665EB22}"/>
    <cellStyle name="Normal 5 3 6 4 3 3" xfId="22926" xr:uid="{28FFF0E8-BB07-4E44-B95C-003D4D6368AC}"/>
    <cellStyle name="Normal 5 3 6 4 4" xfId="10280" xr:uid="{92FB3100-E36D-4417-86BF-563CEC4D82D7}"/>
    <cellStyle name="Normal 5 3 6 4 5" xfId="18709" xr:uid="{A77809AE-E9B8-4470-8829-B055CC1773DF}"/>
    <cellStyle name="Normal 5 3 6 5" xfId="2174" xr:uid="{00000000-0005-0000-0000-0000981A0000}"/>
    <cellStyle name="Normal 5 3 6 5 2" xfId="4403" xr:uid="{00000000-0005-0000-0000-0000991A0000}"/>
    <cellStyle name="Normal 5 3 6 5 2 2" xfId="8627" xr:uid="{00000000-0005-0000-0000-00009A1A0000}"/>
    <cellStyle name="Normal 5 3 6 5 2 2 2" xfId="17056" xr:uid="{43B7F485-1926-4543-96DE-7515B084AF0D}"/>
    <cellStyle name="Normal 5 3 6 5 2 2 3" xfId="25484" xr:uid="{63B52EA4-6F75-4FC7-ADF0-7A3C91AEA549}"/>
    <cellStyle name="Normal 5 3 6 5 2 3" xfId="12838" xr:uid="{68890488-2782-444F-AAA6-DA7C53734928}"/>
    <cellStyle name="Normal 5 3 6 5 2 4" xfId="21267" xr:uid="{355EC68B-3DD8-48BD-B080-82FBA6626130}"/>
    <cellStyle name="Normal 5 3 6 5 3" xfId="6482" xr:uid="{00000000-0005-0000-0000-00009B1A0000}"/>
    <cellStyle name="Normal 5 3 6 5 3 2" xfId="14911" xr:uid="{AC2D7641-BCA1-4F23-9510-69EA9179A95A}"/>
    <cellStyle name="Normal 5 3 6 5 3 3" xfId="23339" xr:uid="{392E79AE-75DE-4F4E-908A-CE5450C62834}"/>
    <cellStyle name="Normal 5 3 6 5 4" xfId="10693" xr:uid="{32828CD2-EE96-41D5-94B0-CDEA9DEFA8CF}"/>
    <cellStyle name="Normal 5 3 6 5 5" xfId="19122" xr:uid="{672FF21E-81B3-4B23-B98A-7572F6235D7B}"/>
    <cellStyle name="Normal 5 3 6 6" xfId="2610" xr:uid="{00000000-0005-0000-0000-00009C1A0000}"/>
    <cellStyle name="Normal 5 3 6 6 2" xfId="6895" xr:uid="{00000000-0005-0000-0000-00009D1A0000}"/>
    <cellStyle name="Normal 5 3 6 6 2 2" xfId="15324" xr:uid="{0E1AAA0A-1DA6-4A6C-8257-48B836BBD11C}"/>
    <cellStyle name="Normal 5 3 6 6 2 3" xfId="23752" xr:uid="{EED3F1A5-6FD7-4B0B-8C71-9AEA7B81203F}"/>
    <cellStyle name="Normal 5 3 6 6 3" xfId="11106" xr:uid="{E31137A3-54BD-429A-8C0B-A23BA27AAAE6}"/>
    <cellStyle name="Normal 5 3 6 6 4" xfId="19535" xr:uid="{C25B0794-0C34-4354-B732-3314D9B18659}"/>
    <cellStyle name="Normal 5 3 6 7" xfId="4830" xr:uid="{00000000-0005-0000-0000-00009E1A0000}"/>
    <cellStyle name="Normal 5 3 6 7 2" xfId="13259" xr:uid="{4329FA8F-233B-4459-A632-0736A2B3C5A6}"/>
    <cellStyle name="Normal 5 3 6 7 3" xfId="21687" xr:uid="{F904A4BE-AB24-4484-96BB-74358D31305E}"/>
    <cellStyle name="Normal 5 3 6 8" xfId="9041" xr:uid="{AB905BA8-1EBD-473B-93BB-A98F2A245612}"/>
    <cellStyle name="Normal 5 3 6 9" xfId="17470" xr:uid="{E59BCC35-3B06-4385-A8D0-D2139E769409}"/>
    <cellStyle name="Normal 5 3 7" xfId="914" xr:uid="{00000000-0005-0000-0000-00009F1A0000}"/>
    <cellStyle name="Normal 5 3 7 2" xfId="3149" xr:uid="{00000000-0005-0000-0000-0000A01A0000}"/>
    <cellStyle name="Normal 5 3 7 2 2" xfId="7373" xr:uid="{00000000-0005-0000-0000-0000A11A0000}"/>
    <cellStyle name="Normal 5 3 7 2 2 2" xfId="15802" xr:uid="{6F35E6DE-A46F-4EDC-A91A-97690CB8A51B}"/>
    <cellStyle name="Normal 5 3 7 2 2 3" xfId="24230" xr:uid="{62B4141D-B627-499C-AAB7-3A68604797A8}"/>
    <cellStyle name="Normal 5 3 7 2 3" xfId="11584" xr:uid="{C0D3F603-AE86-4933-A32A-DA22BDCBB23C}"/>
    <cellStyle name="Normal 5 3 7 2 4" xfId="20013" xr:uid="{626D456B-8571-4CA2-935D-73388B4C3FDD}"/>
    <cellStyle name="Normal 5 3 7 3" xfId="5228" xr:uid="{00000000-0005-0000-0000-0000A21A0000}"/>
    <cellStyle name="Normal 5 3 7 3 2" xfId="13657" xr:uid="{34DADCDC-A1F1-4E1D-82F2-7A5FEEEEF4CF}"/>
    <cellStyle name="Normal 5 3 7 3 3" xfId="22085" xr:uid="{EFF836E1-78AB-4A6B-98FD-C5F436D7CF23}"/>
    <cellStyle name="Normal 5 3 7 4" xfId="9439" xr:uid="{3B3D532E-A46E-454C-AEC9-B35D1122A311}"/>
    <cellStyle name="Normal 5 3 7 5" xfId="17868" xr:uid="{6600CC86-9A46-452D-9B8D-12E84E1FD09A}"/>
    <cellStyle name="Normal 5 3 8" xfId="1332" xr:uid="{00000000-0005-0000-0000-0000A31A0000}"/>
    <cellStyle name="Normal 5 3 8 2" xfId="3562" xr:uid="{00000000-0005-0000-0000-0000A41A0000}"/>
    <cellStyle name="Normal 5 3 8 2 2" xfId="7786" xr:uid="{00000000-0005-0000-0000-0000A51A0000}"/>
    <cellStyle name="Normal 5 3 8 2 2 2" xfId="16215" xr:uid="{B8D9E8D8-F69A-4C3E-A0E7-A293AEFFE6DC}"/>
    <cellStyle name="Normal 5 3 8 2 2 3" xfId="24643" xr:uid="{86E93C31-12C5-4756-BF70-74949184CB92}"/>
    <cellStyle name="Normal 5 3 8 2 3" xfId="11997" xr:uid="{551770D2-E272-4278-B96E-0B7301429EA2}"/>
    <cellStyle name="Normal 5 3 8 2 4" xfId="20426" xr:uid="{0EEF1D70-ABFF-4E47-8BC1-3F9F39B8C684}"/>
    <cellStyle name="Normal 5 3 8 3" xfId="5641" xr:uid="{00000000-0005-0000-0000-0000A61A0000}"/>
    <cellStyle name="Normal 5 3 8 3 2" xfId="14070" xr:uid="{5296F23C-7324-475C-ADA1-D691F58B5AC6}"/>
    <cellStyle name="Normal 5 3 8 3 3" xfId="22498" xr:uid="{1C986478-09E2-4AE5-8287-BF7EC49E3575}"/>
    <cellStyle name="Normal 5 3 8 4" xfId="9852" xr:uid="{3BDB647C-173B-40A8-A482-14C3839BF6E2}"/>
    <cellStyle name="Normal 5 3 8 5" xfId="18281" xr:uid="{95A09A9C-0B3F-4306-8C4A-9A2C2AAA6C20}"/>
    <cellStyle name="Normal 5 3 9" xfId="1745" xr:uid="{00000000-0005-0000-0000-0000A71A0000}"/>
    <cellStyle name="Normal 5 3 9 2" xfId="3975" xr:uid="{00000000-0005-0000-0000-0000A81A0000}"/>
    <cellStyle name="Normal 5 3 9 2 2" xfId="8199" xr:uid="{00000000-0005-0000-0000-0000A91A0000}"/>
    <cellStyle name="Normal 5 3 9 2 2 2" xfId="16628" xr:uid="{20310572-1FAA-4766-B01E-0AECBF4F1D0D}"/>
    <cellStyle name="Normal 5 3 9 2 2 3" xfId="25056" xr:uid="{41A35348-9FA3-4558-9649-F885099B9DC1}"/>
    <cellStyle name="Normal 5 3 9 2 3" xfId="12410" xr:uid="{580122C7-0B53-4D59-B149-580BCD6B576C}"/>
    <cellStyle name="Normal 5 3 9 2 4" xfId="20839" xr:uid="{A47199CC-C354-4515-A344-11A41DD2393B}"/>
    <cellStyle name="Normal 5 3 9 3" xfId="6054" xr:uid="{00000000-0005-0000-0000-0000AA1A0000}"/>
    <cellStyle name="Normal 5 3 9 3 2" xfId="14483" xr:uid="{FB02CE74-58FA-43C1-926D-7CF07CE40FAD}"/>
    <cellStyle name="Normal 5 3 9 3 3" xfId="22911" xr:uid="{CA6AB379-C2D8-43EF-B2A7-70004D989E97}"/>
    <cellStyle name="Normal 5 3 9 4" xfId="10265" xr:uid="{3059B77C-8118-4DB5-9D2F-1F2599086B2A}"/>
    <cellStyle name="Normal 5 3 9 5" xfId="18694" xr:uid="{7466044F-8B9E-41D1-B956-C5C21B7A8C91}"/>
    <cellStyle name="Normal 5 4" xfId="456" xr:uid="{00000000-0005-0000-0000-0000AB1A0000}"/>
    <cellStyle name="Normal 5 4 10" xfId="4831" xr:uid="{00000000-0005-0000-0000-0000AC1A0000}"/>
    <cellStyle name="Normal 5 4 10 2" xfId="13260" xr:uid="{070B63D9-4770-417D-958B-27273670943C}"/>
    <cellStyle name="Normal 5 4 10 3" xfId="21688" xr:uid="{016E95A9-4966-4C7C-A84C-4B09D18DD45F}"/>
    <cellStyle name="Normal 5 4 11" xfId="9042" xr:uid="{C5F842A9-617A-4B0D-AF3F-AE6D29DFF1C4}"/>
    <cellStyle name="Normal 5 4 12" xfId="17471" xr:uid="{039CE3DE-954A-4760-B2FD-44DF6C0992E7}"/>
    <cellStyle name="Normal 5 4 2" xfId="457" xr:uid="{00000000-0005-0000-0000-0000AD1A0000}"/>
    <cellStyle name="Normal 5 4 2 10" xfId="9043" xr:uid="{2AC37397-FC86-41CA-8057-D095053D9013}"/>
    <cellStyle name="Normal 5 4 2 11" xfId="17472" xr:uid="{8363EE61-65C0-41C0-A825-3542D7CF7DD9}"/>
    <cellStyle name="Normal 5 4 2 2" xfId="458" xr:uid="{00000000-0005-0000-0000-0000AE1A0000}"/>
    <cellStyle name="Normal 5 4 2 2 10" xfId="17473" xr:uid="{8DBDE58D-5F0F-4EA8-8D7E-EA6524ED65C5}"/>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21" xr:uid="{0A8E258C-CA6F-4884-8B2A-2B012CADE83A}"/>
    <cellStyle name="Normal 5 4 2 2 2 2 2 2 3" xfId="24249" xr:uid="{1869322D-2A2D-40C8-ABFA-73DC5F58634A}"/>
    <cellStyle name="Normal 5 4 2 2 2 2 2 3" xfId="11603" xr:uid="{C9912A12-E1BF-4E82-8559-1DDC7A91C30A}"/>
    <cellStyle name="Normal 5 4 2 2 2 2 2 4" xfId="20032" xr:uid="{E26CD95B-4879-45C8-8206-752DA8DDB9F4}"/>
    <cellStyle name="Normal 5 4 2 2 2 2 3" xfId="5247" xr:uid="{00000000-0005-0000-0000-0000B31A0000}"/>
    <cellStyle name="Normal 5 4 2 2 2 2 3 2" xfId="13676" xr:uid="{B0399015-5BFA-4DBB-A7C6-1B6BDC8F6042}"/>
    <cellStyle name="Normal 5 4 2 2 2 2 3 3" xfId="22104" xr:uid="{88B8CEC4-B741-41BE-B037-244C74ED127D}"/>
    <cellStyle name="Normal 5 4 2 2 2 2 4" xfId="9458" xr:uid="{D66A275F-6E26-4162-80A3-887A23AA2993}"/>
    <cellStyle name="Normal 5 4 2 2 2 2 5" xfId="17887" xr:uid="{7E0CE66E-B916-484F-933D-C9FFE1DBB2C5}"/>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34" xr:uid="{3638AB1F-352A-47F6-9864-0699CD673FE2}"/>
    <cellStyle name="Normal 5 4 2 2 2 3 2 2 3" xfId="24662" xr:uid="{775E4466-D717-46D6-871A-EB69A04F461B}"/>
    <cellStyle name="Normal 5 4 2 2 2 3 2 3" xfId="12016" xr:uid="{7BC1E1D5-30EA-4B35-BC69-830D12DD62E3}"/>
    <cellStyle name="Normal 5 4 2 2 2 3 2 4" xfId="20445" xr:uid="{DBC9B8A6-0507-4865-B4CA-59932DE701F2}"/>
    <cellStyle name="Normal 5 4 2 2 2 3 3" xfId="5660" xr:uid="{00000000-0005-0000-0000-0000B71A0000}"/>
    <cellStyle name="Normal 5 4 2 2 2 3 3 2" xfId="14089" xr:uid="{3F34D220-085A-4AF3-8970-10CAFC883A09}"/>
    <cellStyle name="Normal 5 4 2 2 2 3 3 3" xfId="22517" xr:uid="{9A3BA53C-DEEF-437C-9B1F-2FB9A45A9150}"/>
    <cellStyle name="Normal 5 4 2 2 2 3 4" xfId="9871" xr:uid="{6F825186-10FE-42CC-9D51-A312784BC05F}"/>
    <cellStyle name="Normal 5 4 2 2 2 3 5" xfId="18300" xr:uid="{5152FCD7-8BE8-4E6F-8CD2-7F0166BB42A6}"/>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7" xr:uid="{15DE8C4E-9000-443E-B173-5D6CA5673F4F}"/>
    <cellStyle name="Normal 5 4 2 2 2 4 2 2 3" xfId="25075" xr:uid="{A535FF7B-C53F-42D1-B7C3-D10FFA6A6B7A}"/>
    <cellStyle name="Normal 5 4 2 2 2 4 2 3" xfId="12429" xr:uid="{2E841EBD-7799-45B3-91B6-91FD33A126BF}"/>
    <cellStyle name="Normal 5 4 2 2 2 4 2 4" xfId="20858" xr:uid="{30CC8375-0439-4216-B3B5-82E412DE92F1}"/>
    <cellStyle name="Normal 5 4 2 2 2 4 3" xfId="6073" xr:uid="{00000000-0005-0000-0000-0000BB1A0000}"/>
    <cellStyle name="Normal 5 4 2 2 2 4 3 2" xfId="14502" xr:uid="{1BAD71F0-5658-4BFA-B3C1-E6677AF05914}"/>
    <cellStyle name="Normal 5 4 2 2 2 4 3 3" xfId="22930" xr:uid="{C8ED8478-A71A-45D0-829C-D1658A6F9DD5}"/>
    <cellStyle name="Normal 5 4 2 2 2 4 4" xfId="10284" xr:uid="{A146A108-79E6-4BC1-A7DF-79B367F7EA49}"/>
    <cellStyle name="Normal 5 4 2 2 2 4 5" xfId="18713" xr:uid="{C4957E6D-43BD-4992-8CB6-59FD49621599}"/>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60" xr:uid="{9ED9B93C-7369-4EF9-AB48-B4277FB31975}"/>
    <cellStyle name="Normal 5 4 2 2 2 5 2 2 3" xfId="25488" xr:uid="{A92D20E5-498E-4ADD-B676-C16E4F236F97}"/>
    <cellStyle name="Normal 5 4 2 2 2 5 2 3" xfId="12842" xr:uid="{7AE02755-1DFD-423F-A5C6-AE82468568DA}"/>
    <cellStyle name="Normal 5 4 2 2 2 5 2 4" xfId="21271" xr:uid="{016700D3-389A-4789-B968-3F0FF25F0DAA}"/>
    <cellStyle name="Normal 5 4 2 2 2 5 3" xfId="6486" xr:uid="{00000000-0005-0000-0000-0000BF1A0000}"/>
    <cellStyle name="Normal 5 4 2 2 2 5 3 2" xfId="14915" xr:uid="{35636722-8446-4BD4-B003-2B2C5078B76C}"/>
    <cellStyle name="Normal 5 4 2 2 2 5 3 3" xfId="23343" xr:uid="{59B0076A-7997-43DA-A8EB-0E517C377741}"/>
    <cellStyle name="Normal 5 4 2 2 2 5 4" xfId="10697" xr:uid="{B07F4992-B54B-45F9-80CF-8BBE2058566D}"/>
    <cellStyle name="Normal 5 4 2 2 2 5 5" xfId="19126" xr:uid="{AD6A9A08-8536-4825-BC33-A90284C1F3EC}"/>
    <cellStyle name="Normal 5 4 2 2 2 6" xfId="2614" xr:uid="{00000000-0005-0000-0000-0000C01A0000}"/>
    <cellStyle name="Normal 5 4 2 2 2 6 2" xfId="6899" xr:uid="{00000000-0005-0000-0000-0000C11A0000}"/>
    <cellStyle name="Normal 5 4 2 2 2 6 2 2" xfId="15328" xr:uid="{E548D887-DAFB-4FE9-9E6B-B5DBB285B8A9}"/>
    <cellStyle name="Normal 5 4 2 2 2 6 2 3" xfId="23756" xr:uid="{D0F1B02F-A659-40A6-B3AE-D599BF44ADB0}"/>
    <cellStyle name="Normal 5 4 2 2 2 6 3" xfId="11110" xr:uid="{AF0EAB3C-47AC-4856-9B1C-15463A06A4B3}"/>
    <cellStyle name="Normal 5 4 2 2 2 6 4" xfId="19539" xr:uid="{A835188D-9402-46EF-920F-EDA106802C6D}"/>
    <cellStyle name="Normal 5 4 2 2 2 7" xfId="4834" xr:uid="{00000000-0005-0000-0000-0000C21A0000}"/>
    <cellStyle name="Normal 5 4 2 2 2 7 2" xfId="13263" xr:uid="{43AD456B-A30B-4764-B535-04245805E2F5}"/>
    <cellStyle name="Normal 5 4 2 2 2 7 3" xfId="21691" xr:uid="{4F33EB91-F8D5-4A74-B9E3-B5F782E3719F}"/>
    <cellStyle name="Normal 5 4 2 2 2 8" xfId="9045" xr:uid="{6EA822E3-4F6B-4691-8B5E-9DC8EBF19951}"/>
    <cellStyle name="Normal 5 4 2 2 2 9" xfId="17474" xr:uid="{35E30E42-B2A8-4E39-97FC-42BCDCE63A46}"/>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20" xr:uid="{CDA68940-7350-46F0-8BB6-B28FED785E7A}"/>
    <cellStyle name="Normal 5 4 2 2 3 2 2 3" xfId="24248" xr:uid="{1809FF5A-D46A-478B-A243-9520943BA80F}"/>
    <cellStyle name="Normal 5 4 2 2 3 2 3" xfId="11602" xr:uid="{5D3181AD-20A1-4B6D-80ED-BBBF9661DE85}"/>
    <cellStyle name="Normal 5 4 2 2 3 2 4" xfId="20031" xr:uid="{D694AD34-9E26-4A22-9749-7E53EBC94E87}"/>
    <cellStyle name="Normal 5 4 2 2 3 3" xfId="5246" xr:uid="{00000000-0005-0000-0000-0000C61A0000}"/>
    <cellStyle name="Normal 5 4 2 2 3 3 2" xfId="13675" xr:uid="{877D81DD-7971-4B3A-A37F-7C2ED8E247A1}"/>
    <cellStyle name="Normal 5 4 2 2 3 3 3" xfId="22103" xr:uid="{BA7B0C8E-0921-4329-926B-AC1B7B43EF32}"/>
    <cellStyle name="Normal 5 4 2 2 3 4" xfId="9457" xr:uid="{B3A632E9-F5EF-4E2D-872C-3A4D6E51A785}"/>
    <cellStyle name="Normal 5 4 2 2 3 5" xfId="17886" xr:uid="{7059FE9A-655D-4A6C-905F-5F849D0F4F66}"/>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33" xr:uid="{36BF11D5-09B0-464A-8C7B-405D7B72AA30}"/>
    <cellStyle name="Normal 5 4 2 2 4 2 2 3" xfId="24661" xr:uid="{877A5812-8DAE-44F6-93F1-650DAD4CE797}"/>
    <cellStyle name="Normal 5 4 2 2 4 2 3" xfId="12015" xr:uid="{0A6B9495-2F8A-4153-8AAB-8BCAB28F9265}"/>
    <cellStyle name="Normal 5 4 2 2 4 2 4" xfId="20444" xr:uid="{F6DF2A45-2CE5-4CFF-80DB-CBFB2CE2C224}"/>
    <cellStyle name="Normal 5 4 2 2 4 3" xfId="5659" xr:uid="{00000000-0005-0000-0000-0000CA1A0000}"/>
    <cellStyle name="Normal 5 4 2 2 4 3 2" xfId="14088" xr:uid="{06872342-0C03-413D-8069-27A8C1E4F19F}"/>
    <cellStyle name="Normal 5 4 2 2 4 3 3" xfId="22516" xr:uid="{C699DBBC-94B7-4E9B-A77F-FCA377A71214}"/>
    <cellStyle name="Normal 5 4 2 2 4 4" xfId="9870" xr:uid="{DA2C1179-21A2-479C-B07D-E45D9BC3B32D}"/>
    <cellStyle name="Normal 5 4 2 2 4 5" xfId="18299" xr:uid="{10653C10-1C0B-4DEE-AE29-3B9F9A8FCEEE}"/>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46" xr:uid="{0E7A1C7A-1299-45F1-9A40-E2B01C185755}"/>
    <cellStyle name="Normal 5 4 2 2 5 2 2 3" xfId="25074" xr:uid="{DA1AAF01-0D1C-4413-823E-C52210CB7997}"/>
    <cellStyle name="Normal 5 4 2 2 5 2 3" xfId="12428" xr:uid="{884FD97D-FCAD-41B0-B190-C76F434FE9AE}"/>
    <cellStyle name="Normal 5 4 2 2 5 2 4" xfId="20857" xr:uid="{E523BD3F-B124-49B2-AE6D-7CA5523E9926}"/>
    <cellStyle name="Normal 5 4 2 2 5 3" xfId="6072" xr:uid="{00000000-0005-0000-0000-0000CE1A0000}"/>
    <cellStyle name="Normal 5 4 2 2 5 3 2" xfId="14501" xr:uid="{A6BD1029-86A6-4C48-8693-FF34D1EAF74E}"/>
    <cellStyle name="Normal 5 4 2 2 5 3 3" xfId="22929" xr:uid="{5B3E1B48-424C-49DA-9666-EBFC06511DE4}"/>
    <cellStyle name="Normal 5 4 2 2 5 4" xfId="10283" xr:uid="{B8FEBA81-02AB-441A-A1A6-8163163A9AA5}"/>
    <cellStyle name="Normal 5 4 2 2 5 5" xfId="18712" xr:uid="{F4068668-6115-4C44-917B-1628ED615A25}"/>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9" xr:uid="{D18AF5D1-1850-42C4-A372-2EEDD8E0C931}"/>
    <cellStyle name="Normal 5 4 2 2 6 2 2 3" xfId="25487" xr:uid="{3BEDA1CF-F072-474F-B940-4F303FBDED4C}"/>
    <cellStyle name="Normal 5 4 2 2 6 2 3" xfId="12841" xr:uid="{D39F0D5E-B655-43F7-923C-F2FC5AB1360A}"/>
    <cellStyle name="Normal 5 4 2 2 6 2 4" xfId="21270" xr:uid="{E3589795-F3A3-46A6-AD13-0018A591957C}"/>
    <cellStyle name="Normal 5 4 2 2 6 3" xfId="6485" xr:uid="{00000000-0005-0000-0000-0000D21A0000}"/>
    <cellStyle name="Normal 5 4 2 2 6 3 2" xfId="14914" xr:uid="{E26D63A7-CB90-45DC-A4F3-2B19E8CAD466}"/>
    <cellStyle name="Normal 5 4 2 2 6 3 3" xfId="23342" xr:uid="{CBD63A9D-E266-46FE-9C76-A21078EA3618}"/>
    <cellStyle name="Normal 5 4 2 2 6 4" xfId="10696" xr:uid="{54C0BB10-BF1F-43F0-AD7A-664E2055DF41}"/>
    <cellStyle name="Normal 5 4 2 2 6 5" xfId="19125" xr:uid="{4C196A5B-2B96-4701-B8CE-286F0B284FB4}"/>
    <cellStyle name="Normal 5 4 2 2 7" xfId="2613" xr:uid="{00000000-0005-0000-0000-0000D31A0000}"/>
    <cellStyle name="Normal 5 4 2 2 7 2" xfId="6898" xr:uid="{00000000-0005-0000-0000-0000D41A0000}"/>
    <cellStyle name="Normal 5 4 2 2 7 2 2" xfId="15327" xr:uid="{3501E48E-050A-4ECF-87AD-8BDB913BEA01}"/>
    <cellStyle name="Normal 5 4 2 2 7 2 3" xfId="23755" xr:uid="{EC2EA442-39D2-402D-B702-4B6F9D41EDDE}"/>
    <cellStyle name="Normal 5 4 2 2 7 3" xfId="11109" xr:uid="{56803D30-1719-4356-BD16-9432B84F5AE1}"/>
    <cellStyle name="Normal 5 4 2 2 7 4" xfId="19538" xr:uid="{785AD290-17E1-4716-849A-5D6A7380D084}"/>
    <cellStyle name="Normal 5 4 2 2 8" xfId="4833" xr:uid="{00000000-0005-0000-0000-0000D51A0000}"/>
    <cellStyle name="Normal 5 4 2 2 8 2" xfId="13262" xr:uid="{B1CDF4A8-FD91-48FE-9459-3A00073C29C4}"/>
    <cellStyle name="Normal 5 4 2 2 8 3" xfId="21690" xr:uid="{8C17B4EF-0DA0-4984-A0A0-C2F394AC7CD7}"/>
    <cellStyle name="Normal 5 4 2 2 9" xfId="9044" xr:uid="{16D68AAF-604F-47CB-BD6E-47729890A621}"/>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22" xr:uid="{FE99E5D0-63AC-4B22-A25B-A26BCFCC7FA5}"/>
    <cellStyle name="Normal 5 4 2 3 2 2 2 3" xfId="24250" xr:uid="{79C2FD3F-B2A2-4DAE-846A-212ADBE0B937}"/>
    <cellStyle name="Normal 5 4 2 3 2 2 3" xfId="11604" xr:uid="{EE2DE595-B780-4933-B1A2-EE3569F7FBE2}"/>
    <cellStyle name="Normal 5 4 2 3 2 2 4" xfId="20033" xr:uid="{87435BCA-0015-47C3-966E-61F49307177E}"/>
    <cellStyle name="Normal 5 4 2 3 2 3" xfId="5248" xr:uid="{00000000-0005-0000-0000-0000DA1A0000}"/>
    <cellStyle name="Normal 5 4 2 3 2 3 2" xfId="13677" xr:uid="{6F577B33-FAED-4C56-8E83-739AC64439BE}"/>
    <cellStyle name="Normal 5 4 2 3 2 3 3" xfId="22105" xr:uid="{63208E39-1F6B-4843-83A5-AA732AFAB797}"/>
    <cellStyle name="Normal 5 4 2 3 2 4" xfId="9459" xr:uid="{42C40567-ED42-4148-B9EA-B9771B0444EA}"/>
    <cellStyle name="Normal 5 4 2 3 2 5" xfId="17888" xr:uid="{BA061583-6EDE-473B-9841-626995E12570}"/>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35" xr:uid="{E804CCBD-E67B-4EEA-8D1A-17BADCF0CDC4}"/>
    <cellStyle name="Normal 5 4 2 3 3 2 2 3" xfId="24663" xr:uid="{23ECCA7A-853A-4B42-93DA-1724A70787D6}"/>
    <cellStyle name="Normal 5 4 2 3 3 2 3" xfId="12017" xr:uid="{4A60F99C-789E-4009-8533-308C0C94BB59}"/>
    <cellStyle name="Normal 5 4 2 3 3 2 4" xfId="20446" xr:uid="{085E279F-6BA6-404E-973E-005199BF5648}"/>
    <cellStyle name="Normal 5 4 2 3 3 3" xfId="5661" xr:uid="{00000000-0005-0000-0000-0000DE1A0000}"/>
    <cellStyle name="Normal 5 4 2 3 3 3 2" xfId="14090" xr:uid="{B405C5A4-05D1-4EE0-A027-8A08D079F264}"/>
    <cellStyle name="Normal 5 4 2 3 3 3 3" xfId="22518" xr:uid="{4D523A8F-2FD2-44BC-9246-CC223004A867}"/>
    <cellStyle name="Normal 5 4 2 3 3 4" xfId="9872" xr:uid="{9C8B8006-3DF0-46F3-A7AB-9541042CA3DA}"/>
    <cellStyle name="Normal 5 4 2 3 3 5" xfId="18301" xr:uid="{0772C10E-E9D0-4DFA-AD1C-6BE5A12652E6}"/>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8" xr:uid="{458B8934-1406-40BB-A99B-1973923E6F62}"/>
    <cellStyle name="Normal 5 4 2 3 4 2 2 3" xfId="25076" xr:uid="{4DE54598-5A4C-4DFC-9DD9-23DC5AD28705}"/>
    <cellStyle name="Normal 5 4 2 3 4 2 3" xfId="12430" xr:uid="{E937464B-166A-4985-AB02-1365FF4A2890}"/>
    <cellStyle name="Normal 5 4 2 3 4 2 4" xfId="20859" xr:uid="{45DE9382-F39B-47FB-8239-D498F34BA9F0}"/>
    <cellStyle name="Normal 5 4 2 3 4 3" xfId="6074" xr:uid="{00000000-0005-0000-0000-0000E21A0000}"/>
    <cellStyle name="Normal 5 4 2 3 4 3 2" xfId="14503" xr:uid="{9E9A8B0C-DF30-4CF9-AF22-B4439343705D}"/>
    <cellStyle name="Normal 5 4 2 3 4 3 3" xfId="22931" xr:uid="{7A14F6C7-78CC-4A45-9AB9-DD67FDCF5619}"/>
    <cellStyle name="Normal 5 4 2 3 4 4" xfId="10285" xr:uid="{A5A708A4-5519-418A-824B-2240361CC9C2}"/>
    <cellStyle name="Normal 5 4 2 3 4 5" xfId="18714" xr:uid="{2552FC78-BC79-47D4-9EBA-5C7AFFC0006B}"/>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61" xr:uid="{F39188B5-3F1C-4D94-9106-7DB2B2A68486}"/>
    <cellStyle name="Normal 5 4 2 3 5 2 2 3" xfId="25489" xr:uid="{C03FAE87-998A-4304-A22F-3FD9E5DACA7A}"/>
    <cellStyle name="Normal 5 4 2 3 5 2 3" xfId="12843" xr:uid="{16D19951-E225-4243-85E0-74DD2D1F91C7}"/>
    <cellStyle name="Normal 5 4 2 3 5 2 4" xfId="21272" xr:uid="{923B0FA2-39E3-4A67-B4B6-534BEBE12F4A}"/>
    <cellStyle name="Normal 5 4 2 3 5 3" xfId="6487" xr:uid="{00000000-0005-0000-0000-0000E61A0000}"/>
    <cellStyle name="Normal 5 4 2 3 5 3 2" xfId="14916" xr:uid="{B17B65FA-97C3-4913-A59A-0A2BF719BA11}"/>
    <cellStyle name="Normal 5 4 2 3 5 3 3" xfId="23344" xr:uid="{BD94F681-0656-4C18-854A-4DBB7FB542BA}"/>
    <cellStyle name="Normal 5 4 2 3 5 4" xfId="10698" xr:uid="{5186415B-60B5-46C9-835D-3C768EEFDDFA}"/>
    <cellStyle name="Normal 5 4 2 3 5 5" xfId="19127" xr:uid="{D8D49E2C-6536-4D83-AA51-387E1058398F}"/>
    <cellStyle name="Normal 5 4 2 3 6" xfId="2615" xr:uid="{00000000-0005-0000-0000-0000E71A0000}"/>
    <cellStyle name="Normal 5 4 2 3 6 2" xfId="6900" xr:uid="{00000000-0005-0000-0000-0000E81A0000}"/>
    <cellStyle name="Normal 5 4 2 3 6 2 2" xfId="15329" xr:uid="{778081CA-5E71-455B-8188-4AC847A8443E}"/>
    <cellStyle name="Normal 5 4 2 3 6 2 3" xfId="23757" xr:uid="{8287EEF2-161F-4E53-8C77-73306989644C}"/>
    <cellStyle name="Normal 5 4 2 3 6 3" xfId="11111" xr:uid="{31A021E7-C746-4591-9615-E2D4878D9CD2}"/>
    <cellStyle name="Normal 5 4 2 3 6 4" xfId="19540" xr:uid="{5E257203-3CEE-4218-A763-A0485741F9E3}"/>
    <cellStyle name="Normal 5 4 2 3 7" xfId="4835" xr:uid="{00000000-0005-0000-0000-0000E91A0000}"/>
    <cellStyle name="Normal 5 4 2 3 7 2" xfId="13264" xr:uid="{C1EFB328-FB45-4960-8BE4-654D0DE07363}"/>
    <cellStyle name="Normal 5 4 2 3 7 3" xfId="21692" xr:uid="{EF6C2416-36AF-4F2C-9894-797EFB0BAE99}"/>
    <cellStyle name="Normal 5 4 2 3 8" xfId="9046" xr:uid="{0D430549-2E99-4F1E-BDBE-D995ECA42669}"/>
    <cellStyle name="Normal 5 4 2 3 9" xfId="17475" xr:uid="{41EA0C82-D895-45A8-A232-161D31BC936B}"/>
    <cellStyle name="Normal 5 4 2 4" xfId="932" xr:uid="{00000000-0005-0000-0000-0000EA1A0000}"/>
    <cellStyle name="Normal 5 4 2 4 2" xfId="3166" xr:uid="{00000000-0005-0000-0000-0000EB1A0000}"/>
    <cellStyle name="Normal 5 4 2 4 2 2" xfId="7390" xr:uid="{00000000-0005-0000-0000-0000EC1A0000}"/>
    <cellStyle name="Normal 5 4 2 4 2 2 2" xfId="15819" xr:uid="{7029ACFB-C2C4-4CCB-8C9A-9D5F61901DEF}"/>
    <cellStyle name="Normal 5 4 2 4 2 2 3" xfId="24247" xr:uid="{3A77A0D6-C6AE-4885-9ED7-02953D5E6826}"/>
    <cellStyle name="Normal 5 4 2 4 2 3" xfId="11601" xr:uid="{5A5E5F43-70C4-4C40-971B-19458D2A7897}"/>
    <cellStyle name="Normal 5 4 2 4 2 4" xfId="20030" xr:uid="{EE167ECB-1A49-4744-8B28-2041BBAA192B}"/>
    <cellStyle name="Normal 5 4 2 4 3" xfId="5245" xr:uid="{00000000-0005-0000-0000-0000ED1A0000}"/>
    <cellStyle name="Normal 5 4 2 4 3 2" xfId="13674" xr:uid="{A4D9E7A0-C651-456D-8545-9E31C57D6BDF}"/>
    <cellStyle name="Normal 5 4 2 4 3 3" xfId="22102" xr:uid="{DB62DE2E-785A-4B1C-AE83-02CEF6C85038}"/>
    <cellStyle name="Normal 5 4 2 4 4" xfId="9456" xr:uid="{D2642484-5270-4853-8D1F-FE1B1DB92BF9}"/>
    <cellStyle name="Normal 5 4 2 4 5" xfId="17885" xr:uid="{D724F9D6-9AF3-41F7-9754-EC70F7B8A1EB}"/>
    <cellStyle name="Normal 5 4 2 5" xfId="1349" xr:uid="{00000000-0005-0000-0000-0000EE1A0000}"/>
    <cellStyle name="Normal 5 4 2 5 2" xfId="3579" xr:uid="{00000000-0005-0000-0000-0000EF1A0000}"/>
    <cellStyle name="Normal 5 4 2 5 2 2" xfId="7803" xr:uid="{00000000-0005-0000-0000-0000F01A0000}"/>
    <cellStyle name="Normal 5 4 2 5 2 2 2" xfId="16232" xr:uid="{02A6BE2E-100C-4A4C-A391-62A1E1DB1AF2}"/>
    <cellStyle name="Normal 5 4 2 5 2 2 3" xfId="24660" xr:uid="{D9483F4A-4C27-4B23-9D2D-C5A58606B2C8}"/>
    <cellStyle name="Normal 5 4 2 5 2 3" xfId="12014" xr:uid="{49165AAF-8BF6-4135-8DDF-E976F537329E}"/>
    <cellStyle name="Normal 5 4 2 5 2 4" xfId="20443" xr:uid="{87BE72D0-B87C-4FC3-A835-23FC6D1ADFA4}"/>
    <cellStyle name="Normal 5 4 2 5 3" xfId="5658" xr:uid="{00000000-0005-0000-0000-0000F11A0000}"/>
    <cellStyle name="Normal 5 4 2 5 3 2" xfId="14087" xr:uid="{275B3194-CA07-4E1A-ADE5-C1A212C7C479}"/>
    <cellStyle name="Normal 5 4 2 5 3 3" xfId="22515" xr:uid="{F2503400-1B98-4608-AC50-908DC31C7523}"/>
    <cellStyle name="Normal 5 4 2 5 4" xfId="9869" xr:uid="{E8346DD3-9FCA-4ACD-91FE-E0F4075AE2E2}"/>
    <cellStyle name="Normal 5 4 2 5 5" xfId="18298" xr:uid="{EC718ECD-BF3C-4E1D-8B50-C464D06026AF}"/>
    <cellStyle name="Normal 5 4 2 6" xfId="1762" xr:uid="{00000000-0005-0000-0000-0000F21A0000}"/>
    <cellStyle name="Normal 5 4 2 6 2" xfId="3992" xr:uid="{00000000-0005-0000-0000-0000F31A0000}"/>
    <cellStyle name="Normal 5 4 2 6 2 2" xfId="8216" xr:uid="{00000000-0005-0000-0000-0000F41A0000}"/>
    <cellStyle name="Normal 5 4 2 6 2 2 2" xfId="16645" xr:uid="{745E660E-8376-45EE-B267-01C91799A47D}"/>
    <cellStyle name="Normal 5 4 2 6 2 2 3" xfId="25073" xr:uid="{A8E98467-7C9E-4331-B061-9CFA8C028638}"/>
    <cellStyle name="Normal 5 4 2 6 2 3" xfId="12427" xr:uid="{180D0C96-44FA-4AF9-9A84-2B01B6505414}"/>
    <cellStyle name="Normal 5 4 2 6 2 4" xfId="20856" xr:uid="{2D49C0D6-FA43-48D0-815F-6DE96CE291FC}"/>
    <cellStyle name="Normal 5 4 2 6 3" xfId="6071" xr:uid="{00000000-0005-0000-0000-0000F51A0000}"/>
    <cellStyle name="Normal 5 4 2 6 3 2" xfId="14500" xr:uid="{F8849AEF-D0BE-4D76-8409-4ACBBB6BB984}"/>
    <cellStyle name="Normal 5 4 2 6 3 3" xfId="22928" xr:uid="{D723BD91-36FA-4231-99AD-503F2B400014}"/>
    <cellStyle name="Normal 5 4 2 6 4" xfId="10282" xr:uid="{6AAB12D5-BDEA-4FEA-98CD-39D707FF8E05}"/>
    <cellStyle name="Normal 5 4 2 6 5" xfId="18711" xr:uid="{E6496E64-396D-4267-B46E-64C7440A03DE}"/>
    <cellStyle name="Normal 5 4 2 7" xfId="2176" xr:uid="{00000000-0005-0000-0000-0000F61A0000}"/>
    <cellStyle name="Normal 5 4 2 7 2" xfId="4405" xr:uid="{00000000-0005-0000-0000-0000F71A0000}"/>
    <cellStyle name="Normal 5 4 2 7 2 2" xfId="8629" xr:uid="{00000000-0005-0000-0000-0000F81A0000}"/>
    <cellStyle name="Normal 5 4 2 7 2 2 2" xfId="17058" xr:uid="{79E5D72E-4B1D-4159-AEE6-FF5607DA36C0}"/>
    <cellStyle name="Normal 5 4 2 7 2 2 3" xfId="25486" xr:uid="{B8998D7B-8018-42D6-B120-A089CB0135F1}"/>
    <cellStyle name="Normal 5 4 2 7 2 3" xfId="12840" xr:uid="{C528BE24-5DEC-45E5-95D2-7F6614759366}"/>
    <cellStyle name="Normal 5 4 2 7 2 4" xfId="21269" xr:uid="{4F3A3C2D-DB10-44D3-9412-1726553D51D6}"/>
    <cellStyle name="Normal 5 4 2 7 3" xfId="6484" xr:uid="{00000000-0005-0000-0000-0000F91A0000}"/>
    <cellStyle name="Normal 5 4 2 7 3 2" xfId="14913" xr:uid="{D869BBCA-4429-4552-BFCE-0FED2AF60EFA}"/>
    <cellStyle name="Normal 5 4 2 7 3 3" xfId="23341" xr:uid="{CA8780A1-B8A5-4CD0-8534-227DD7AF10A3}"/>
    <cellStyle name="Normal 5 4 2 7 4" xfId="10695" xr:uid="{A8EFB227-40A5-4F2B-9746-8F9574A26A2A}"/>
    <cellStyle name="Normal 5 4 2 7 5" xfId="19124" xr:uid="{F60BAC77-68D7-48C0-9B2B-41E0B3BBBD9B}"/>
    <cellStyle name="Normal 5 4 2 8" xfId="2612" xr:uid="{00000000-0005-0000-0000-0000FA1A0000}"/>
    <cellStyle name="Normal 5 4 2 8 2" xfId="6897" xr:uid="{00000000-0005-0000-0000-0000FB1A0000}"/>
    <cellStyle name="Normal 5 4 2 8 2 2" xfId="15326" xr:uid="{DE632C65-B24F-405E-87DE-2481E79A970B}"/>
    <cellStyle name="Normal 5 4 2 8 2 3" xfId="23754" xr:uid="{1EBF182F-9D0B-4F1D-90F0-96E628A6D50C}"/>
    <cellStyle name="Normal 5 4 2 8 3" xfId="11108" xr:uid="{4D5A6DD9-5775-44ED-A5AC-B050CDB5298E}"/>
    <cellStyle name="Normal 5 4 2 8 4" xfId="19537" xr:uid="{5ACF8435-4090-4F33-AD4E-56F9C3F19D7E}"/>
    <cellStyle name="Normal 5 4 2 9" xfId="4832" xr:uid="{00000000-0005-0000-0000-0000FC1A0000}"/>
    <cellStyle name="Normal 5 4 2 9 2" xfId="13261" xr:uid="{9449CF6C-A401-4CD0-8D31-1135670D3870}"/>
    <cellStyle name="Normal 5 4 2 9 3" xfId="21689" xr:uid="{DFB0EE54-DA1B-44F8-BDB1-3FF2933589CE}"/>
    <cellStyle name="Normal 5 4 3" xfId="461" xr:uid="{00000000-0005-0000-0000-0000FD1A0000}"/>
    <cellStyle name="Normal 5 4 3 10" xfId="17476" xr:uid="{09455527-5570-475B-8022-EAE5986D94F1}"/>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24" xr:uid="{16F4D3B5-9126-4ECD-8489-1FC637BC9E3E}"/>
    <cellStyle name="Normal 5 4 3 2 2 2 2 3" xfId="24252" xr:uid="{723E916E-EFC2-4460-8382-1B29E2D012CE}"/>
    <cellStyle name="Normal 5 4 3 2 2 2 3" xfId="11606" xr:uid="{90F27973-E05F-4DC9-8925-9ADD4282BD5A}"/>
    <cellStyle name="Normal 5 4 3 2 2 2 4" xfId="20035" xr:uid="{7D10844B-73FA-4024-AA55-AAFDA9E8ED2C}"/>
    <cellStyle name="Normal 5 4 3 2 2 3" xfId="5250" xr:uid="{00000000-0005-0000-0000-0000021B0000}"/>
    <cellStyle name="Normal 5 4 3 2 2 3 2" xfId="13679" xr:uid="{00961A68-3927-4711-9552-35CD854EE8B1}"/>
    <cellStyle name="Normal 5 4 3 2 2 3 3" xfId="22107" xr:uid="{CE985F75-D2AF-43B1-9F26-FC10D6057A44}"/>
    <cellStyle name="Normal 5 4 3 2 2 4" xfId="9461" xr:uid="{DDE87EFA-7B5A-47E1-B4DD-07E30565B7C7}"/>
    <cellStyle name="Normal 5 4 3 2 2 5" xfId="17890" xr:uid="{B2E8E96E-7F5D-4875-AC8B-5C0C34553FA6}"/>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7" xr:uid="{2F590676-8375-4BF0-90EC-A508FC890444}"/>
    <cellStyle name="Normal 5 4 3 2 3 2 2 3" xfId="24665" xr:uid="{F06BE297-40D2-4A1B-BBD7-FDF0E8621CF2}"/>
    <cellStyle name="Normal 5 4 3 2 3 2 3" xfId="12019" xr:uid="{5BF756BA-0EF5-42BF-9918-3FF46CFB26EF}"/>
    <cellStyle name="Normal 5 4 3 2 3 2 4" xfId="20448" xr:uid="{FC53ABA2-5E5F-4A8E-895F-DEED8C9C4829}"/>
    <cellStyle name="Normal 5 4 3 2 3 3" xfId="5663" xr:uid="{00000000-0005-0000-0000-0000061B0000}"/>
    <cellStyle name="Normal 5 4 3 2 3 3 2" xfId="14092" xr:uid="{DE170A7C-2943-4FAD-B592-4ECBE0C4AECF}"/>
    <cellStyle name="Normal 5 4 3 2 3 3 3" xfId="22520" xr:uid="{D28EFA8E-A26D-4302-9A07-CE80DA3C2CD1}"/>
    <cellStyle name="Normal 5 4 3 2 3 4" xfId="9874" xr:uid="{21430334-B22E-4AD1-932E-B5785C8AAE4B}"/>
    <cellStyle name="Normal 5 4 3 2 3 5" xfId="18303" xr:uid="{ABAEFA67-DECA-4549-B4BF-4C8989062B40}"/>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50" xr:uid="{B419CE80-5B9D-4668-94AE-D4EDB48DE60B}"/>
    <cellStyle name="Normal 5 4 3 2 4 2 2 3" xfId="25078" xr:uid="{95FF75A6-1C51-4587-B8BF-81B354432A6D}"/>
    <cellStyle name="Normal 5 4 3 2 4 2 3" xfId="12432" xr:uid="{AFAA4E19-C947-4EF4-8236-D2387B7F6673}"/>
    <cellStyle name="Normal 5 4 3 2 4 2 4" xfId="20861" xr:uid="{1BE7009C-D4BB-4663-8C37-78B1CAC86A2A}"/>
    <cellStyle name="Normal 5 4 3 2 4 3" xfId="6076" xr:uid="{00000000-0005-0000-0000-00000A1B0000}"/>
    <cellStyle name="Normal 5 4 3 2 4 3 2" xfId="14505" xr:uid="{319C50BF-116B-4CB7-AC4E-6498ED4633C1}"/>
    <cellStyle name="Normal 5 4 3 2 4 3 3" xfId="22933" xr:uid="{145CFA8E-0BEB-4C5F-9E98-EB0788805B00}"/>
    <cellStyle name="Normal 5 4 3 2 4 4" xfId="10287" xr:uid="{9BF5529C-48F8-469D-A90D-E1CEB77F407F}"/>
    <cellStyle name="Normal 5 4 3 2 4 5" xfId="18716" xr:uid="{B15158FB-574C-453B-B40A-343E2CF6C418}"/>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63" xr:uid="{CC9F600F-99F7-439A-8315-581EC18CD08B}"/>
    <cellStyle name="Normal 5 4 3 2 5 2 2 3" xfId="25491" xr:uid="{3D45E894-34F3-448D-AE6E-A25BB243EF55}"/>
    <cellStyle name="Normal 5 4 3 2 5 2 3" xfId="12845" xr:uid="{658403B8-90E8-4695-B907-3BAF2E8EEB8E}"/>
    <cellStyle name="Normal 5 4 3 2 5 2 4" xfId="21274" xr:uid="{4E65D59B-ACB9-4EA9-9FB1-4BCBEF32615C}"/>
    <cellStyle name="Normal 5 4 3 2 5 3" xfId="6489" xr:uid="{00000000-0005-0000-0000-00000E1B0000}"/>
    <cellStyle name="Normal 5 4 3 2 5 3 2" xfId="14918" xr:uid="{C41412CA-3784-4FD7-91C7-D23121CC63DC}"/>
    <cellStyle name="Normal 5 4 3 2 5 3 3" xfId="23346" xr:uid="{8ACC1C0E-F439-4F35-A177-241E7F694E98}"/>
    <cellStyle name="Normal 5 4 3 2 5 4" xfId="10700" xr:uid="{3F2DFE9B-E01C-4A36-BAC4-D4B703582BAC}"/>
    <cellStyle name="Normal 5 4 3 2 5 5" xfId="19129" xr:uid="{3045E6A2-E49D-4521-B185-9D83B72B59B8}"/>
    <cellStyle name="Normal 5 4 3 2 6" xfId="2617" xr:uid="{00000000-0005-0000-0000-00000F1B0000}"/>
    <cellStyle name="Normal 5 4 3 2 6 2" xfId="6902" xr:uid="{00000000-0005-0000-0000-0000101B0000}"/>
    <cellStyle name="Normal 5 4 3 2 6 2 2" xfId="15331" xr:uid="{26B11B93-1903-4564-B783-AE04A88F33E4}"/>
    <cellStyle name="Normal 5 4 3 2 6 2 3" xfId="23759" xr:uid="{402AD996-38E9-4F36-8417-B6D81D49C6F6}"/>
    <cellStyle name="Normal 5 4 3 2 6 3" xfId="11113" xr:uid="{D87622F8-C20B-4A9C-9BBD-29BF96364562}"/>
    <cellStyle name="Normal 5 4 3 2 6 4" xfId="19542" xr:uid="{AD85A02E-1D83-4586-BE37-8872846C1B5D}"/>
    <cellStyle name="Normal 5 4 3 2 7" xfId="4837" xr:uid="{00000000-0005-0000-0000-0000111B0000}"/>
    <cellStyle name="Normal 5 4 3 2 7 2" xfId="13266" xr:uid="{670C6F0F-3E11-40CD-9BDB-099AF42ED1A5}"/>
    <cellStyle name="Normal 5 4 3 2 7 3" xfId="21694" xr:uid="{2AB3F4EE-C706-4768-8CB1-E147BB815A9C}"/>
    <cellStyle name="Normal 5 4 3 2 8" xfId="9048" xr:uid="{E0669C3C-D745-4D89-B806-FD72601D1468}"/>
    <cellStyle name="Normal 5 4 3 2 9" xfId="17477" xr:uid="{D36AA5D1-A0BC-467F-BEFC-8C839A5E2265}"/>
    <cellStyle name="Normal 5 4 3 3" xfId="936" xr:uid="{00000000-0005-0000-0000-0000121B0000}"/>
    <cellStyle name="Normal 5 4 3 3 2" xfId="3170" xr:uid="{00000000-0005-0000-0000-0000131B0000}"/>
    <cellStyle name="Normal 5 4 3 3 2 2" xfId="7394" xr:uid="{00000000-0005-0000-0000-0000141B0000}"/>
    <cellStyle name="Normal 5 4 3 3 2 2 2" xfId="15823" xr:uid="{C0D53C87-EEEF-497A-9E0C-3F8C2D0044E9}"/>
    <cellStyle name="Normal 5 4 3 3 2 2 3" xfId="24251" xr:uid="{B92BF8D9-711F-48EC-95A1-73F1ACA733F7}"/>
    <cellStyle name="Normal 5 4 3 3 2 3" xfId="11605" xr:uid="{28DA4227-9216-422E-A5E6-3C88ABADD6BA}"/>
    <cellStyle name="Normal 5 4 3 3 2 4" xfId="20034" xr:uid="{76497842-37AC-4B27-A6EC-08DC6E136610}"/>
    <cellStyle name="Normal 5 4 3 3 3" xfId="5249" xr:uid="{00000000-0005-0000-0000-0000151B0000}"/>
    <cellStyle name="Normal 5 4 3 3 3 2" xfId="13678" xr:uid="{9A77916F-CCAD-49F3-AAC9-AD769FB26106}"/>
    <cellStyle name="Normal 5 4 3 3 3 3" xfId="22106" xr:uid="{0C131982-A350-4D18-9204-EEE0ABFF43A7}"/>
    <cellStyle name="Normal 5 4 3 3 4" xfId="9460" xr:uid="{A0543DDB-7519-47A3-8121-F5D1FED1C80E}"/>
    <cellStyle name="Normal 5 4 3 3 5" xfId="17889" xr:uid="{C36EAEFF-C86C-49E4-869F-751772C24613}"/>
    <cellStyle name="Normal 5 4 3 4" xfId="1353" xr:uid="{00000000-0005-0000-0000-0000161B0000}"/>
    <cellStyle name="Normal 5 4 3 4 2" xfId="3583" xr:uid="{00000000-0005-0000-0000-0000171B0000}"/>
    <cellStyle name="Normal 5 4 3 4 2 2" xfId="7807" xr:uid="{00000000-0005-0000-0000-0000181B0000}"/>
    <cellStyle name="Normal 5 4 3 4 2 2 2" xfId="16236" xr:uid="{26CB8E00-14D4-4F89-A0A3-53751B567883}"/>
    <cellStyle name="Normal 5 4 3 4 2 2 3" xfId="24664" xr:uid="{ED2C99D6-98FA-4071-835E-648A398CC766}"/>
    <cellStyle name="Normal 5 4 3 4 2 3" xfId="12018" xr:uid="{8995DDED-CBBC-4CCD-B626-70CD6F36CC88}"/>
    <cellStyle name="Normal 5 4 3 4 2 4" xfId="20447" xr:uid="{8BC54B10-D9F0-4088-BD01-265477F4FAF7}"/>
    <cellStyle name="Normal 5 4 3 4 3" xfId="5662" xr:uid="{00000000-0005-0000-0000-0000191B0000}"/>
    <cellStyle name="Normal 5 4 3 4 3 2" xfId="14091" xr:uid="{9DA907B9-B355-4DFC-8464-73C86D32723F}"/>
    <cellStyle name="Normal 5 4 3 4 3 3" xfId="22519" xr:uid="{910A827F-1F84-4227-80A4-92023321EFF9}"/>
    <cellStyle name="Normal 5 4 3 4 4" xfId="9873" xr:uid="{E7413B9B-BF19-4FB9-995A-EA28502B8570}"/>
    <cellStyle name="Normal 5 4 3 4 5" xfId="18302" xr:uid="{6F5FB0F9-D61C-402A-AC5A-A819EEA0BB64}"/>
    <cellStyle name="Normal 5 4 3 5" xfId="1766" xr:uid="{00000000-0005-0000-0000-00001A1B0000}"/>
    <cellStyle name="Normal 5 4 3 5 2" xfId="3996" xr:uid="{00000000-0005-0000-0000-00001B1B0000}"/>
    <cellStyle name="Normal 5 4 3 5 2 2" xfId="8220" xr:uid="{00000000-0005-0000-0000-00001C1B0000}"/>
    <cellStyle name="Normal 5 4 3 5 2 2 2" xfId="16649" xr:uid="{F387EF36-B055-429D-B53B-A83240636521}"/>
    <cellStyle name="Normal 5 4 3 5 2 2 3" xfId="25077" xr:uid="{27ED1F50-A9E9-4387-AB39-68F7CD1347BE}"/>
    <cellStyle name="Normal 5 4 3 5 2 3" xfId="12431" xr:uid="{7809E5A4-E8F8-4E99-9E43-9FDCDB51732F}"/>
    <cellStyle name="Normal 5 4 3 5 2 4" xfId="20860" xr:uid="{D0E5E475-B089-4FC6-9FC6-8C2087B1B7F1}"/>
    <cellStyle name="Normal 5 4 3 5 3" xfId="6075" xr:uid="{00000000-0005-0000-0000-00001D1B0000}"/>
    <cellStyle name="Normal 5 4 3 5 3 2" xfId="14504" xr:uid="{1DDBF33A-D2BB-41E7-AECF-E26648E5B322}"/>
    <cellStyle name="Normal 5 4 3 5 3 3" xfId="22932" xr:uid="{1890B6CD-5738-4917-B6EE-365A03EBF5B1}"/>
    <cellStyle name="Normal 5 4 3 5 4" xfId="10286" xr:uid="{59B6DBAC-6E23-42EA-8050-319C598F7421}"/>
    <cellStyle name="Normal 5 4 3 5 5" xfId="18715" xr:uid="{122F8B44-C31A-4DF9-96CD-76C99BA3E12F}"/>
    <cellStyle name="Normal 5 4 3 6" xfId="2180" xr:uid="{00000000-0005-0000-0000-00001E1B0000}"/>
    <cellStyle name="Normal 5 4 3 6 2" xfId="4409" xr:uid="{00000000-0005-0000-0000-00001F1B0000}"/>
    <cellStyle name="Normal 5 4 3 6 2 2" xfId="8633" xr:uid="{00000000-0005-0000-0000-0000201B0000}"/>
    <cellStyle name="Normal 5 4 3 6 2 2 2" xfId="17062" xr:uid="{64309C0E-9652-4798-A8B9-069171184CCF}"/>
    <cellStyle name="Normal 5 4 3 6 2 2 3" xfId="25490" xr:uid="{307F3780-E079-4F02-BC43-8D00790B8881}"/>
    <cellStyle name="Normal 5 4 3 6 2 3" xfId="12844" xr:uid="{00DCBFDD-39FA-4E6A-8CA1-5885501B159A}"/>
    <cellStyle name="Normal 5 4 3 6 2 4" xfId="21273" xr:uid="{1E77DAEB-C3D1-408F-8A66-6FFFD03A76A7}"/>
    <cellStyle name="Normal 5 4 3 6 3" xfId="6488" xr:uid="{00000000-0005-0000-0000-0000211B0000}"/>
    <cellStyle name="Normal 5 4 3 6 3 2" xfId="14917" xr:uid="{7B5C4D28-C1F4-437A-9215-80DAC52FC6A9}"/>
    <cellStyle name="Normal 5 4 3 6 3 3" xfId="23345" xr:uid="{6FAFAA22-B091-4232-8DFD-419F5C3FD492}"/>
    <cellStyle name="Normal 5 4 3 6 4" xfId="10699" xr:uid="{AC0B396E-B3D3-4FA8-A615-3BE6B1416538}"/>
    <cellStyle name="Normal 5 4 3 6 5" xfId="19128" xr:uid="{4E4C71DD-DC04-47E6-891D-30680D37CF75}"/>
    <cellStyle name="Normal 5 4 3 7" xfId="2616" xr:uid="{00000000-0005-0000-0000-0000221B0000}"/>
    <cellStyle name="Normal 5 4 3 7 2" xfId="6901" xr:uid="{00000000-0005-0000-0000-0000231B0000}"/>
    <cellStyle name="Normal 5 4 3 7 2 2" xfId="15330" xr:uid="{D80EDA12-9B32-4FD2-9731-7891F1664A70}"/>
    <cellStyle name="Normal 5 4 3 7 2 3" xfId="23758" xr:uid="{2D44E18E-0FFD-4D2C-BB78-30658D706E29}"/>
    <cellStyle name="Normal 5 4 3 7 3" xfId="11112" xr:uid="{40FF9233-E5D4-4EF0-81C6-F96C3A627A23}"/>
    <cellStyle name="Normal 5 4 3 7 4" xfId="19541" xr:uid="{60C81C6D-F917-43C1-B331-42717B35A7B8}"/>
    <cellStyle name="Normal 5 4 3 8" xfId="4836" xr:uid="{00000000-0005-0000-0000-0000241B0000}"/>
    <cellStyle name="Normal 5 4 3 8 2" xfId="13265" xr:uid="{E4C0ABA1-6284-488B-B14B-896930E80EDD}"/>
    <cellStyle name="Normal 5 4 3 8 3" xfId="21693" xr:uid="{777E85CE-B81C-4D1E-9C0D-FC577D552D59}"/>
    <cellStyle name="Normal 5 4 3 9" xfId="9047" xr:uid="{7E9F76F5-EEE4-4CCB-8C50-8BA7D8322804}"/>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25" xr:uid="{CEB05C88-EEF6-4EAF-A2CA-E64FE86F0B92}"/>
    <cellStyle name="Normal 5 4 4 2 2 2 3" xfId="24253" xr:uid="{8FC1A664-89E5-4781-B4F3-84273C0F53EC}"/>
    <cellStyle name="Normal 5 4 4 2 2 3" xfId="11607" xr:uid="{494B7D0B-DB2D-4740-92E6-CEA9C7E9D582}"/>
    <cellStyle name="Normal 5 4 4 2 2 4" xfId="20036" xr:uid="{11331F8B-2BD8-4355-AA7D-B5479DD677EE}"/>
    <cellStyle name="Normal 5 4 4 2 3" xfId="5251" xr:uid="{00000000-0005-0000-0000-0000291B0000}"/>
    <cellStyle name="Normal 5 4 4 2 3 2" xfId="13680" xr:uid="{3D534EEC-95CD-41C7-BCBD-8C57E6B402AA}"/>
    <cellStyle name="Normal 5 4 4 2 3 3" xfId="22108" xr:uid="{E97507C2-C078-4B8D-A0DD-F074A1833CF0}"/>
    <cellStyle name="Normal 5 4 4 2 4" xfId="9462" xr:uid="{40BFAAA8-3F2F-4CBF-B8E8-4A1F16978844}"/>
    <cellStyle name="Normal 5 4 4 2 5" xfId="17891" xr:uid="{16D1A378-8FC6-4573-B71B-7F0F75069C1B}"/>
    <cellStyle name="Normal 5 4 4 3" xfId="1355" xr:uid="{00000000-0005-0000-0000-00002A1B0000}"/>
    <cellStyle name="Normal 5 4 4 3 2" xfId="3585" xr:uid="{00000000-0005-0000-0000-00002B1B0000}"/>
    <cellStyle name="Normal 5 4 4 3 2 2" xfId="7809" xr:uid="{00000000-0005-0000-0000-00002C1B0000}"/>
    <cellStyle name="Normal 5 4 4 3 2 2 2" xfId="16238" xr:uid="{B2D0BAFC-319E-4398-8183-C4B50D25A8EF}"/>
    <cellStyle name="Normal 5 4 4 3 2 2 3" xfId="24666" xr:uid="{D9DCA9DE-104B-43FC-9484-4C8DF4AE8F06}"/>
    <cellStyle name="Normal 5 4 4 3 2 3" xfId="12020" xr:uid="{EE0BD4BD-5061-4D3A-822E-B75249D8D793}"/>
    <cellStyle name="Normal 5 4 4 3 2 4" xfId="20449" xr:uid="{79139108-F33F-4195-9099-2453D6180C73}"/>
    <cellStyle name="Normal 5 4 4 3 3" xfId="5664" xr:uid="{00000000-0005-0000-0000-00002D1B0000}"/>
    <cellStyle name="Normal 5 4 4 3 3 2" xfId="14093" xr:uid="{98413078-E946-4E6B-92A1-8014C9C2DE45}"/>
    <cellStyle name="Normal 5 4 4 3 3 3" xfId="22521" xr:uid="{491AF716-335D-40B7-A5FB-C0199A969E68}"/>
    <cellStyle name="Normal 5 4 4 3 4" xfId="9875" xr:uid="{0FE70EE8-82EE-4FB8-9F3D-44501360965B}"/>
    <cellStyle name="Normal 5 4 4 3 5" xfId="18304" xr:uid="{F1DC4837-93C2-420E-A8BB-337014589A49}"/>
    <cellStyle name="Normal 5 4 4 4" xfId="1768" xr:uid="{00000000-0005-0000-0000-00002E1B0000}"/>
    <cellStyle name="Normal 5 4 4 4 2" xfId="3998" xr:uid="{00000000-0005-0000-0000-00002F1B0000}"/>
    <cellStyle name="Normal 5 4 4 4 2 2" xfId="8222" xr:uid="{00000000-0005-0000-0000-0000301B0000}"/>
    <cellStyle name="Normal 5 4 4 4 2 2 2" xfId="16651" xr:uid="{85AC3611-6D21-4D1A-B5F8-A5065F2724B6}"/>
    <cellStyle name="Normal 5 4 4 4 2 2 3" xfId="25079" xr:uid="{0DCB475D-56A2-4124-93C4-B11CA5FA85D3}"/>
    <cellStyle name="Normal 5 4 4 4 2 3" xfId="12433" xr:uid="{E732080A-8360-4901-A702-9666BAFD94F9}"/>
    <cellStyle name="Normal 5 4 4 4 2 4" xfId="20862" xr:uid="{6D62ABC6-F860-45F0-BE75-DB0EA0EC5514}"/>
    <cellStyle name="Normal 5 4 4 4 3" xfId="6077" xr:uid="{00000000-0005-0000-0000-0000311B0000}"/>
    <cellStyle name="Normal 5 4 4 4 3 2" xfId="14506" xr:uid="{76CF4A74-2203-4DEC-A93D-474571A7FFC6}"/>
    <cellStyle name="Normal 5 4 4 4 3 3" xfId="22934" xr:uid="{A7424AF4-0AD8-40D0-AC3A-0BD6747BE208}"/>
    <cellStyle name="Normal 5 4 4 4 4" xfId="10288" xr:uid="{9845024F-E419-4D3C-B69C-D859DF6A2CDD}"/>
    <cellStyle name="Normal 5 4 4 4 5" xfId="18717" xr:uid="{EBC1798B-AD18-40D9-A9D3-9582192E188D}"/>
    <cellStyle name="Normal 5 4 4 5" xfId="2182" xr:uid="{00000000-0005-0000-0000-0000321B0000}"/>
    <cellStyle name="Normal 5 4 4 5 2" xfId="4411" xr:uid="{00000000-0005-0000-0000-0000331B0000}"/>
    <cellStyle name="Normal 5 4 4 5 2 2" xfId="8635" xr:uid="{00000000-0005-0000-0000-0000341B0000}"/>
    <cellStyle name="Normal 5 4 4 5 2 2 2" xfId="17064" xr:uid="{FAD5346A-9E5E-454F-99BB-B5535EC97F03}"/>
    <cellStyle name="Normal 5 4 4 5 2 2 3" xfId="25492" xr:uid="{A09FEE9C-A58D-43F2-9227-2D19701E1BA2}"/>
    <cellStyle name="Normal 5 4 4 5 2 3" xfId="12846" xr:uid="{AEFB3378-1908-41A4-B87B-758C433486E7}"/>
    <cellStyle name="Normal 5 4 4 5 2 4" xfId="21275" xr:uid="{927F0411-E848-4D7E-8A85-9A11FA1A5361}"/>
    <cellStyle name="Normal 5 4 4 5 3" xfId="6490" xr:uid="{00000000-0005-0000-0000-0000351B0000}"/>
    <cellStyle name="Normal 5 4 4 5 3 2" xfId="14919" xr:uid="{C38B7B3B-75CA-4C31-ADA6-63EFD04E4D0E}"/>
    <cellStyle name="Normal 5 4 4 5 3 3" xfId="23347" xr:uid="{2B345CFA-4C88-4226-A511-D56CFD956B26}"/>
    <cellStyle name="Normal 5 4 4 5 4" xfId="10701" xr:uid="{03AE23ED-05E1-4DBA-A4EB-60D5B6F2119F}"/>
    <cellStyle name="Normal 5 4 4 5 5" xfId="19130" xr:uid="{3103BCEC-79B7-4071-8373-011F5A4891C0}"/>
    <cellStyle name="Normal 5 4 4 6" xfId="2618" xr:uid="{00000000-0005-0000-0000-0000361B0000}"/>
    <cellStyle name="Normal 5 4 4 6 2" xfId="6903" xr:uid="{00000000-0005-0000-0000-0000371B0000}"/>
    <cellStyle name="Normal 5 4 4 6 2 2" xfId="15332" xr:uid="{B51CFA99-E234-4EF9-84DC-8DE8BEF7C5CB}"/>
    <cellStyle name="Normal 5 4 4 6 2 3" xfId="23760" xr:uid="{E7718354-0C41-4C77-976B-EDC0B13B867F}"/>
    <cellStyle name="Normal 5 4 4 6 3" xfId="11114" xr:uid="{3A23B7BF-B6D4-40B4-9D22-0CC430EB7F1A}"/>
    <cellStyle name="Normal 5 4 4 6 4" xfId="19543" xr:uid="{D98547EA-A1A6-40BF-9AFD-9AC4B26950F1}"/>
    <cellStyle name="Normal 5 4 4 7" xfId="4838" xr:uid="{00000000-0005-0000-0000-0000381B0000}"/>
    <cellStyle name="Normal 5 4 4 7 2" xfId="13267" xr:uid="{25002E78-63AF-4E05-AB83-545FE22AA09F}"/>
    <cellStyle name="Normal 5 4 4 7 3" xfId="21695" xr:uid="{75D926C0-F42F-46D8-8BF5-A535CF38E3CA}"/>
    <cellStyle name="Normal 5 4 4 8" xfId="9049" xr:uid="{30C1105B-B324-4AB1-BFD2-804B6B8CA90D}"/>
    <cellStyle name="Normal 5 4 4 9" xfId="17478" xr:uid="{68D2E7AE-39D1-43C6-A85B-F1C7C776E839}"/>
    <cellStyle name="Normal 5 4 5" xfId="931" xr:uid="{00000000-0005-0000-0000-0000391B0000}"/>
    <cellStyle name="Normal 5 4 5 2" xfId="3165" xr:uid="{00000000-0005-0000-0000-00003A1B0000}"/>
    <cellStyle name="Normal 5 4 5 2 2" xfId="7389" xr:uid="{00000000-0005-0000-0000-00003B1B0000}"/>
    <cellStyle name="Normal 5 4 5 2 2 2" xfId="15818" xr:uid="{A7398996-DF87-464E-8AEC-7A0ADFB6257A}"/>
    <cellStyle name="Normal 5 4 5 2 2 3" xfId="24246" xr:uid="{ED3C26AC-B37B-40D8-9E45-371714F5FE80}"/>
    <cellStyle name="Normal 5 4 5 2 3" xfId="11600" xr:uid="{E6A11192-08F4-4285-9569-485BD5A5E6EC}"/>
    <cellStyle name="Normal 5 4 5 2 4" xfId="20029" xr:uid="{77BCFB26-048C-4268-B8B5-6A1F6EF78FB3}"/>
    <cellStyle name="Normal 5 4 5 3" xfId="5244" xr:uid="{00000000-0005-0000-0000-00003C1B0000}"/>
    <cellStyle name="Normal 5 4 5 3 2" xfId="13673" xr:uid="{885D2C55-ED51-4E90-8A56-98C95D8C702A}"/>
    <cellStyle name="Normal 5 4 5 3 3" xfId="22101" xr:uid="{DAD04DC1-38C2-46F7-93E8-65DE0F75298B}"/>
    <cellStyle name="Normal 5 4 5 4" xfId="9455" xr:uid="{F4CA6C4F-A9B6-4BBC-BD91-69901719E15D}"/>
    <cellStyle name="Normal 5 4 5 5" xfId="17884" xr:uid="{207A1830-0F99-4122-89A8-533E2815E896}"/>
    <cellStyle name="Normal 5 4 6" xfId="1348" xr:uid="{00000000-0005-0000-0000-00003D1B0000}"/>
    <cellStyle name="Normal 5 4 6 2" xfId="3578" xr:uid="{00000000-0005-0000-0000-00003E1B0000}"/>
    <cellStyle name="Normal 5 4 6 2 2" xfId="7802" xr:uid="{00000000-0005-0000-0000-00003F1B0000}"/>
    <cellStyle name="Normal 5 4 6 2 2 2" xfId="16231" xr:uid="{8196F59A-C4AD-481B-8CFC-3266B3A226EF}"/>
    <cellStyle name="Normal 5 4 6 2 2 3" xfId="24659" xr:uid="{5F93348A-EBD2-47CF-8F94-36BB69D441F8}"/>
    <cellStyle name="Normal 5 4 6 2 3" xfId="12013" xr:uid="{A578545B-1388-4723-8D19-64750C25603A}"/>
    <cellStyle name="Normal 5 4 6 2 4" xfId="20442" xr:uid="{D9C7FEEA-8B5B-4462-9F0C-E18CC55AF661}"/>
    <cellStyle name="Normal 5 4 6 3" xfId="5657" xr:uid="{00000000-0005-0000-0000-0000401B0000}"/>
    <cellStyle name="Normal 5 4 6 3 2" xfId="14086" xr:uid="{FDB554C8-B76A-4169-9A2D-84AA5B58781A}"/>
    <cellStyle name="Normal 5 4 6 3 3" xfId="22514" xr:uid="{A0F0EABD-FEB3-4C64-8065-A123AA353B41}"/>
    <cellStyle name="Normal 5 4 6 4" xfId="9868" xr:uid="{28A708A6-1010-4200-B1A0-3A897D05C40F}"/>
    <cellStyle name="Normal 5 4 6 5" xfId="18297" xr:uid="{96652A2B-3BFD-4E04-82B1-06C3B3B5303A}"/>
    <cellStyle name="Normal 5 4 7" xfId="1761" xr:uid="{00000000-0005-0000-0000-0000411B0000}"/>
    <cellStyle name="Normal 5 4 7 2" xfId="3991" xr:uid="{00000000-0005-0000-0000-0000421B0000}"/>
    <cellStyle name="Normal 5 4 7 2 2" xfId="8215" xr:uid="{00000000-0005-0000-0000-0000431B0000}"/>
    <cellStyle name="Normal 5 4 7 2 2 2" xfId="16644" xr:uid="{E1FF33D4-A404-4859-B5F8-1E703A725054}"/>
    <cellStyle name="Normal 5 4 7 2 2 3" xfId="25072" xr:uid="{3366A97D-0800-4BC5-8E35-AFA3A61B8B88}"/>
    <cellStyle name="Normal 5 4 7 2 3" xfId="12426" xr:uid="{7014E86D-C77A-44FC-B28C-CFDA02B77206}"/>
    <cellStyle name="Normal 5 4 7 2 4" xfId="20855" xr:uid="{FC92B6F3-42DD-415A-9CC1-C5D39692FC29}"/>
    <cellStyle name="Normal 5 4 7 3" xfId="6070" xr:uid="{00000000-0005-0000-0000-0000441B0000}"/>
    <cellStyle name="Normal 5 4 7 3 2" xfId="14499" xr:uid="{47F76329-D4CC-40C2-B7A9-D93EF0FD0CA2}"/>
    <cellStyle name="Normal 5 4 7 3 3" xfId="22927" xr:uid="{5A02989A-57B6-42D2-8ADB-5CF8D464C80C}"/>
    <cellStyle name="Normal 5 4 7 4" xfId="10281" xr:uid="{52D69589-48D1-4F86-AD50-6E9769E9D019}"/>
    <cellStyle name="Normal 5 4 7 5" xfId="18710" xr:uid="{4BD401D8-BA76-4776-AA50-9691070C6632}"/>
    <cellStyle name="Normal 5 4 8" xfId="2175" xr:uid="{00000000-0005-0000-0000-0000451B0000}"/>
    <cellStyle name="Normal 5 4 8 2" xfId="4404" xr:uid="{00000000-0005-0000-0000-0000461B0000}"/>
    <cellStyle name="Normal 5 4 8 2 2" xfId="8628" xr:uid="{00000000-0005-0000-0000-0000471B0000}"/>
    <cellStyle name="Normal 5 4 8 2 2 2" xfId="17057" xr:uid="{9573754B-18F5-4F11-8187-3154EB1498F7}"/>
    <cellStyle name="Normal 5 4 8 2 2 3" xfId="25485" xr:uid="{8B4D30BC-E316-4053-83CC-59895E2E26AA}"/>
    <cellStyle name="Normal 5 4 8 2 3" xfId="12839" xr:uid="{D80E8A6A-8D53-4840-81F4-E70EA6A9FD31}"/>
    <cellStyle name="Normal 5 4 8 2 4" xfId="21268" xr:uid="{45A31379-C685-409C-98DD-020D02150B05}"/>
    <cellStyle name="Normal 5 4 8 3" xfId="6483" xr:uid="{00000000-0005-0000-0000-0000481B0000}"/>
    <cellStyle name="Normal 5 4 8 3 2" xfId="14912" xr:uid="{2E187B87-8CA9-4CBD-A63B-74E1D6AC8F9C}"/>
    <cellStyle name="Normal 5 4 8 3 3" xfId="23340" xr:uid="{3CD8A5DE-7ECE-4CE9-A3E1-D5E39029DB24}"/>
    <cellStyle name="Normal 5 4 8 4" xfId="10694" xr:uid="{7B135F48-4502-49F9-9481-76E4B1E3EF8C}"/>
    <cellStyle name="Normal 5 4 8 5" xfId="19123" xr:uid="{88900F2C-BB47-4982-A349-3A2F3E0C7BF4}"/>
    <cellStyle name="Normal 5 4 9" xfId="2611" xr:uid="{00000000-0005-0000-0000-0000491B0000}"/>
    <cellStyle name="Normal 5 4 9 2" xfId="6896" xr:uid="{00000000-0005-0000-0000-00004A1B0000}"/>
    <cellStyle name="Normal 5 4 9 2 2" xfId="15325" xr:uid="{6EC4588E-4C35-41DD-8D55-468DF7EDCF4A}"/>
    <cellStyle name="Normal 5 4 9 2 3" xfId="23753" xr:uid="{EBA4F399-B599-491A-B637-EFE476CAD9CD}"/>
    <cellStyle name="Normal 5 4 9 3" xfId="11107" xr:uid="{7ECA649E-0E30-42A4-8717-9E9E8E0DD422}"/>
    <cellStyle name="Normal 5 4 9 4" xfId="19536" xr:uid="{9D5310D9-42A6-4AF6-86BE-D4F20CE9D7BA}"/>
    <cellStyle name="Normal 5 5" xfId="464" xr:uid="{00000000-0005-0000-0000-00004B1B0000}"/>
    <cellStyle name="Normal 5 5 10" xfId="9050" xr:uid="{09AC9F9E-3A7E-42B8-884B-C95BD0215FDE}"/>
    <cellStyle name="Normal 5 5 11" xfId="17479" xr:uid="{E3ADE1EB-5223-4B85-A37F-1BE13133406E}"/>
    <cellStyle name="Normal 5 5 2" xfId="465" xr:uid="{00000000-0005-0000-0000-00004C1B0000}"/>
    <cellStyle name="Normal 5 5 2 10" xfId="17480" xr:uid="{D44B0764-00D2-4B00-BDF2-9D86E1260491}"/>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8" xr:uid="{4583643C-B5E3-4E65-8F85-FBB1F0BB8B6F}"/>
    <cellStyle name="Normal 5 5 2 2 2 2 2 3" xfId="24256" xr:uid="{B9EF01F6-C65B-4622-A1B5-283993FCD5B7}"/>
    <cellStyle name="Normal 5 5 2 2 2 2 3" xfId="11610" xr:uid="{6AE9B425-EADE-4A5C-B303-C62CE9C9D3DB}"/>
    <cellStyle name="Normal 5 5 2 2 2 2 4" xfId="20039" xr:uid="{D43378B2-7456-4E51-B652-BD86DEEE7507}"/>
    <cellStyle name="Normal 5 5 2 2 2 3" xfId="5254" xr:uid="{00000000-0005-0000-0000-0000511B0000}"/>
    <cellStyle name="Normal 5 5 2 2 2 3 2" xfId="13683" xr:uid="{1E10F257-E11E-4957-A2F1-EED67EA3C1BC}"/>
    <cellStyle name="Normal 5 5 2 2 2 3 3" xfId="22111" xr:uid="{3FFD965B-3AA3-4529-A138-F137A44A2E5C}"/>
    <cellStyle name="Normal 5 5 2 2 2 4" xfId="9465" xr:uid="{578478CB-8619-4F14-B453-529FD58AAB98}"/>
    <cellStyle name="Normal 5 5 2 2 2 5" xfId="17894" xr:uid="{3773A682-F1E9-471C-ABA5-893EF0B65090}"/>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41" xr:uid="{36FEE5A9-1941-4EE1-AF9E-51F8843E298C}"/>
    <cellStyle name="Normal 5 5 2 2 3 2 2 3" xfId="24669" xr:uid="{AB40E9E6-ECA7-4976-BCB0-0968CE73071D}"/>
    <cellStyle name="Normal 5 5 2 2 3 2 3" xfId="12023" xr:uid="{0C24F35A-323E-4E81-9B59-2F76F534A5E3}"/>
    <cellStyle name="Normal 5 5 2 2 3 2 4" xfId="20452" xr:uid="{BEB1AF8B-2AF9-4E43-A7E4-0328A4AF47CA}"/>
    <cellStyle name="Normal 5 5 2 2 3 3" xfId="5667" xr:uid="{00000000-0005-0000-0000-0000551B0000}"/>
    <cellStyle name="Normal 5 5 2 2 3 3 2" xfId="14096" xr:uid="{DBF6808B-E17E-4FB4-A766-3F4D40FE432F}"/>
    <cellStyle name="Normal 5 5 2 2 3 3 3" xfId="22524" xr:uid="{42F68DD7-A7BE-459B-B9DD-5437AE1E8C75}"/>
    <cellStyle name="Normal 5 5 2 2 3 4" xfId="9878" xr:uid="{1FAE6918-23F4-4D8C-A44E-5CE93FB48BB3}"/>
    <cellStyle name="Normal 5 5 2 2 3 5" xfId="18307" xr:uid="{A48AB3E6-AB16-414B-A9FF-EAD590470A6A}"/>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54" xr:uid="{EBA77563-9DAB-4C4A-9306-83AE5ACC4314}"/>
    <cellStyle name="Normal 5 5 2 2 4 2 2 3" xfId="25082" xr:uid="{76F6B2AF-AD03-43D4-8E5C-EFCC86646FC1}"/>
    <cellStyle name="Normal 5 5 2 2 4 2 3" xfId="12436" xr:uid="{A7127442-3D62-40A5-81EE-D241F1F01284}"/>
    <cellStyle name="Normal 5 5 2 2 4 2 4" xfId="20865" xr:uid="{723B93EF-EC32-41E4-97AE-180B7B43FF03}"/>
    <cellStyle name="Normal 5 5 2 2 4 3" xfId="6080" xr:uid="{00000000-0005-0000-0000-0000591B0000}"/>
    <cellStyle name="Normal 5 5 2 2 4 3 2" xfId="14509" xr:uid="{3521A9AF-0B52-43B1-98C6-D194131C6E7C}"/>
    <cellStyle name="Normal 5 5 2 2 4 3 3" xfId="22937" xr:uid="{BCE6773C-D5F0-4201-A6D8-4803486644F7}"/>
    <cellStyle name="Normal 5 5 2 2 4 4" xfId="10291" xr:uid="{255677A4-887D-4386-B563-D844619CCD7B}"/>
    <cellStyle name="Normal 5 5 2 2 4 5" xfId="18720" xr:uid="{8739593B-9E1A-4AA2-A4D3-E48A2898B1A2}"/>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7" xr:uid="{97631DEE-85B7-481C-B95E-B5B3D7184097}"/>
    <cellStyle name="Normal 5 5 2 2 5 2 2 3" xfId="25495" xr:uid="{2475E6F2-2D44-4474-9849-11CFF7A2184E}"/>
    <cellStyle name="Normal 5 5 2 2 5 2 3" xfId="12849" xr:uid="{D2930539-87FA-4F1F-A507-A3D928A22760}"/>
    <cellStyle name="Normal 5 5 2 2 5 2 4" xfId="21278" xr:uid="{CB6B9E74-2DA2-497A-AE15-F09AA2B21E58}"/>
    <cellStyle name="Normal 5 5 2 2 5 3" xfId="6493" xr:uid="{00000000-0005-0000-0000-00005D1B0000}"/>
    <cellStyle name="Normal 5 5 2 2 5 3 2" xfId="14922" xr:uid="{F15E69A2-6256-4AC8-85BD-A44A7FD2E61F}"/>
    <cellStyle name="Normal 5 5 2 2 5 3 3" xfId="23350" xr:uid="{E9B5635E-16C6-4CE4-87EE-F45752F2DB7A}"/>
    <cellStyle name="Normal 5 5 2 2 5 4" xfId="10704" xr:uid="{65C01D26-215F-4AAE-B3C2-299B5B5C45D1}"/>
    <cellStyle name="Normal 5 5 2 2 5 5" xfId="19133" xr:uid="{CA5EE032-DA36-4C48-9114-D28052B028FB}"/>
    <cellStyle name="Normal 5 5 2 2 6" xfId="2621" xr:uid="{00000000-0005-0000-0000-00005E1B0000}"/>
    <cellStyle name="Normal 5 5 2 2 6 2" xfId="6906" xr:uid="{00000000-0005-0000-0000-00005F1B0000}"/>
    <cellStyle name="Normal 5 5 2 2 6 2 2" xfId="15335" xr:uid="{C7B158B9-06E0-4D98-8836-73F1A5365329}"/>
    <cellStyle name="Normal 5 5 2 2 6 2 3" xfId="23763" xr:uid="{5C348F4C-3EC4-4B5D-909D-80A0D8629514}"/>
    <cellStyle name="Normal 5 5 2 2 6 3" xfId="11117" xr:uid="{43C8C414-8815-48BF-8E89-3485C3A189C5}"/>
    <cellStyle name="Normal 5 5 2 2 6 4" xfId="19546" xr:uid="{FD475592-1F40-4401-AA4C-2FB4A79232BA}"/>
    <cellStyle name="Normal 5 5 2 2 7" xfId="4841" xr:uid="{00000000-0005-0000-0000-0000601B0000}"/>
    <cellStyle name="Normal 5 5 2 2 7 2" xfId="13270" xr:uid="{E1737E88-A36C-4E20-B5BD-D70BA649AD41}"/>
    <cellStyle name="Normal 5 5 2 2 7 3" xfId="21698" xr:uid="{D622FC61-812E-4110-AAA1-2FB3A708848B}"/>
    <cellStyle name="Normal 5 5 2 2 8" xfId="9052" xr:uid="{EA409CB7-625F-4B64-A128-523C33149E09}"/>
    <cellStyle name="Normal 5 5 2 2 9" xfId="17481" xr:uid="{DE7AD4EC-07EF-4A89-ACE6-087D04A8B486}"/>
    <cellStyle name="Normal 5 5 2 3" xfId="940" xr:uid="{00000000-0005-0000-0000-0000611B0000}"/>
    <cellStyle name="Normal 5 5 2 3 2" xfId="3174" xr:uid="{00000000-0005-0000-0000-0000621B0000}"/>
    <cellStyle name="Normal 5 5 2 3 2 2" xfId="7398" xr:uid="{00000000-0005-0000-0000-0000631B0000}"/>
    <cellStyle name="Normal 5 5 2 3 2 2 2" xfId="15827" xr:uid="{8F20F324-A957-4102-9783-356D6E94FC1E}"/>
    <cellStyle name="Normal 5 5 2 3 2 2 3" xfId="24255" xr:uid="{E3D56787-4A86-4403-9008-7216636A10F9}"/>
    <cellStyle name="Normal 5 5 2 3 2 3" xfId="11609" xr:uid="{5B2066BB-BB50-45DD-95E0-8CFE3E800C93}"/>
    <cellStyle name="Normal 5 5 2 3 2 4" xfId="20038" xr:uid="{D6C6B179-FFF6-4131-8122-F92C84F1A6DD}"/>
    <cellStyle name="Normal 5 5 2 3 3" xfId="5253" xr:uid="{00000000-0005-0000-0000-0000641B0000}"/>
    <cellStyle name="Normal 5 5 2 3 3 2" xfId="13682" xr:uid="{9E57662F-5B02-4C37-BC4E-B8C0E4C77866}"/>
    <cellStyle name="Normal 5 5 2 3 3 3" xfId="22110" xr:uid="{BCE5D9D0-21A2-4237-9E2C-C6F1161100E1}"/>
    <cellStyle name="Normal 5 5 2 3 4" xfId="9464" xr:uid="{66CE9AC7-6DA0-490C-AB57-D6D20FA7A345}"/>
    <cellStyle name="Normal 5 5 2 3 5" xfId="17893" xr:uid="{2BBDE2CF-8EE8-475D-A98B-027303D3016E}"/>
    <cellStyle name="Normal 5 5 2 4" xfId="1357" xr:uid="{00000000-0005-0000-0000-0000651B0000}"/>
    <cellStyle name="Normal 5 5 2 4 2" xfId="3587" xr:uid="{00000000-0005-0000-0000-0000661B0000}"/>
    <cellStyle name="Normal 5 5 2 4 2 2" xfId="7811" xr:uid="{00000000-0005-0000-0000-0000671B0000}"/>
    <cellStyle name="Normal 5 5 2 4 2 2 2" xfId="16240" xr:uid="{86AD31B5-AA00-4D27-8BA7-3F569DFC5290}"/>
    <cellStyle name="Normal 5 5 2 4 2 2 3" xfId="24668" xr:uid="{7131A54F-6F83-4E20-97E0-3D455A3ACA96}"/>
    <cellStyle name="Normal 5 5 2 4 2 3" xfId="12022" xr:uid="{B2920947-1E58-477D-B236-1EC604DF98FB}"/>
    <cellStyle name="Normal 5 5 2 4 2 4" xfId="20451" xr:uid="{199AE194-6463-4B5C-B19E-11480247FB30}"/>
    <cellStyle name="Normal 5 5 2 4 3" xfId="5666" xr:uid="{00000000-0005-0000-0000-0000681B0000}"/>
    <cellStyle name="Normal 5 5 2 4 3 2" xfId="14095" xr:uid="{C983E7B0-0922-4C54-A0A9-B0D68B692995}"/>
    <cellStyle name="Normal 5 5 2 4 3 3" xfId="22523" xr:uid="{C8BEA02E-C1F6-49D1-9F63-911D3A4845B8}"/>
    <cellStyle name="Normal 5 5 2 4 4" xfId="9877" xr:uid="{9F4F1B1D-A0F2-4030-9A85-2772C91C8EEC}"/>
    <cellStyle name="Normal 5 5 2 4 5" xfId="18306" xr:uid="{DB64289A-2A52-4C39-98C2-A62CEB7543DE}"/>
    <cellStyle name="Normal 5 5 2 5" xfId="1770" xr:uid="{00000000-0005-0000-0000-0000691B0000}"/>
    <cellStyle name="Normal 5 5 2 5 2" xfId="4000" xr:uid="{00000000-0005-0000-0000-00006A1B0000}"/>
    <cellStyle name="Normal 5 5 2 5 2 2" xfId="8224" xr:uid="{00000000-0005-0000-0000-00006B1B0000}"/>
    <cellStyle name="Normal 5 5 2 5 2 2 2" xfId="16653" xr:uid="{83B2AB6A-EB6B-4565-B836-E1C93659A26B}"/>
    <cellStyle name="Normal 5 5 2 5 2 2 3" xfId="25081" xr:uid="{DD1EA642-F792-4619-9462-FA3289B16839}"/>
    <cellStyle name="Normal 5 5 2 5 2 3" xfId="12435" xr:uid="{34A8B4F8-F098-4689-817C-7DFBA5E5ADB8}"/>
    <cellStyle name="Normal 5 5 2 5 2 4" xfId="20864" xr:uid="{28B37898-E4C0-474B-A6ED-CC1E6C860693}"/>
    <cellStyle name="Normal 5 5 2 5 3" xfId="6079" xr:uid="{00000000-0005-0000-0000-00006C1B0000}"/>
    <cellStyle name="Normal 5 5 2 5 3 2" xfId="14508" xr:uid="{292E89F2-C438-434E-A4FB-CA6BB27D1AE1}"/>
    <cellStyle name="Normal 5 5 2 5 3 3" xfId="22936" xr:uid="{EDBACEEE-E84C-4864-82A4-141598F9E73B}"/>
    <cellStyle name="Normal 5 5 2 5 4" xfId="10290" xr:uid="{00C8279F-98AD-4859-AB17-50AEA977EC0B}"/>
    <cellStyle name="Normal 5 5 2 5 5" xfId="18719" xr:uid="{1A486BEB-7158-4A47-AA92-D98E23DC1EF7}"/>
    <cellStyle name="Normal 5 5 2 6" xfId="2184" xr:uid="{00000000-0005-0000-0000-00006D1B0000}"/>
    <cellStyle name="Normal 5 5 2 6 2" xfId="4413" xr:uid="{00000000-0005-0000-0000-00006E1B0000}"/>
    <cellStyle name="Normal 5 5 2 6 2 2" xfId="8637" xr:uid="{00000000-0005-0000-0000-00006F1B0000}"/>
    <cellStyle name="Normal 5 5 2 6 2 2 2" xfId="17066" xr:uid="{0B3B0D70-BC35-4558-AE5C-E3A82C5EC0CD}"/>
    <cellStyle name="Normal 5 5 2 6 2 2 3" xfId="25494" xr:uid="{B7398C1B-D72D-4A52-AFC6-895F120E9366}"/>
    <cellStyle name="Normal 5 5 2 6 2 3" xfId="12848" xr:uid="{D4B358F9-D8E4-4A0F-8521-035C8625395E}"/>
    <cellStyle name="Normal 5 5 2 6 2 4" xfId="21277" xr:uid="{5062CFCE-30EE-40FE-84B4-EC1EA6E54C4B}"/>
    <cellStyle name="Normal 5 5 2 6 3" xfId="6492" xr:uid="{00000000-0005-0000-0000-0000701B0000}"/>
    <cellStyle name="Normal 5 5 2 6 3 2" xfId="14921" xr:uid="{9BBD4B45-F2A8-4FF9-8B65-D6FD68407071}"/>
    <cellStyle name="Normal 5 5 2 6 3 3" xfId="23349" xr:uid="{06FEE5F7-E5F8-4B7C-A1D4-C2397BF2F4C1}"/>
    <cellStyle name="Normal 5 5 2 6 4" xfId="10703" xr:uid="{0530FE14-9F69-448B-864E-174EDF059E33}"/>
    <cellStyle name="Normal 5 5 2 6 5" xfId="19132" xr:uid="{0A66A86A-D9E0-40A6-8799-32C63924FE7B}"/>
    <cellStyle name="Normal 5 5 2 7" xfId="2620" xr:uid="{00000000-0005-0000-0000-0000711B0000}"/>
    <cellStyle name="Normal 5 5 2 7 2" xfId="6905" xr:uid="{00000000-0005-0000-0000-0000721B0000}"/>
    <cellStyle name="Normal 5 5 2 7 2 2" xfId="15334" xr:uid="{5A7FAE65-AF00-4D00-93A8-75B904A67FBA}"/>
    <cellStyle name="Normal 5 5 2 7 2 3" xfId="23762" xr:uid="{FFF6FCC5-DC29-48A2-BD58-7BCF032191B6}"/>
    <cellStyle name="Normal 5 5 2 7 3" xfId="11116" xr:uid="{6ACF91C7-D86B-4DAE-810E-903A1EB5FBA9}"/>
    <cellStyle name="Normal 5 5 2 7 4" xfId="19545" xr:uid="{0F71A5EE-9463-4AA4-B6AD-538D0D301DAC}"/>
    <cellStyle name="Normal 5 5 2 8" xfId="4840" xr:uid="{00000000-0005-0000-0000-0000731B0000}"/>
    <cellStyle name="Normal 5 5 2 8 2" xfId="13269" xr:uid="{9F3C4703-402E-4608-98F5-570E6B2D986D}"/>
    <cellStyle name="Normal 5 5 2 8 3" xfId="21697" xr:uid="{74F7D24F-2B02-4175-8B6F-D025121E7A1B}"/>
    <cellStyle name="Normal 5 5 2 9" xfId="9051" xr:uid="{1C325B97-C93D-4A86-90A9-663B9B3BAF2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9" xr:uid="{18BB564F-1C2D-41D8-94E8-1C5E788A29C4}"/>
    <cellStyle name="Normal 5 5 3 2 2 2 3" xfId="24257" xr:uid="{A88F3D99-9ADE-40B6-9667-7D93A3BDADCF}"/>
    <cellStyle name="Normal 5 5 3 2 2 3" xfId="11611" xr:uid="{3E2B8A10-897B-44FD-AD82-A2C9B3DF26DB}"/>
    <cellStyle name="Normal 5 5 3 2 2 4" xfId="20040" xr:uid="{51FC1118-44F7-4C22-8A67-1C9E508B709D}"/>
    <cellStyle name="Normal 5 5 3 2 3" xfId="5255" xr:uid="{00000000-0005-0000-0000-0000781B0000}"/>
    <cellStyle name="Normal 5 5 3 2 3 2" xfId="13684" xr:uid="{27C24EAA-E59F-4E15-A63B-9D289422AE90}"/>
    <cellStyle name="Normal 5 5 3 2 3 3" xfId="22112" xr:uid="{E7E79FA6-5F69-4851-91D4-C3EE360985F7}"/>
    <cellStyle name="Normal 5 5 3 2 4" xfId="9466" xr:uid="{77C89E5D-0540-4136-AFEC-1CB20D32461E}"/>
    <cellStyle name="Normal 5 5 3 2 5" xfId="17895" xr:uid="{F1BE5661-41F2-418A-A939-32ECF97D59F1}"/>
    <cellStyle name="Normal 5 5 3 3" xfId="1359" xr:uid="{00000000-0005-0000-0000-0000791B0000}"/>
    <cellStyle name="Normal 5 5 3 3 2" xfId="3589" xr:uid="{00000000-0005-0000-0000-00007A1B0000}"/>
    <cellStyle name="Normal 5 5 3 3 2 2" xfId="7813" xr:uid="{00000000-0005-0000-0000-00007B1B0000}"/>
    <cellStyle name="Normal 5 5 3 3 2 2 2" xfId="16242" xr:uid="{633E8951-9D89-4370-9211-EEE64C1707BA}"/>
    <cellStyle name="Normal 5 5 3 3 2 2 3" xfId="24670" xr:uid="{37BF69D7-4834-4BE7-A5E1-471D0DEE9A1F}"/>
    <cellStyle name="Normal 5 5 3 3 2 3" xfId="12024" xr:uid="{5DC6B56D-4BDB-4AA3-A276-58F25F17B6B7}"/>
    <cellStyle name="Normal 5 5 3 3 2 4" xfId="20453" xr:uid="{908655DC-BEDD-41FE-90D1-8AD60F27B884}"/>
    <cellStyle name="Normal 5 5 3 3 3" xfId="5668" xr:uid="{00000000-0005-0000-0000-00007C1B0000}"/>
    <cellStyle name="Normal 5 5 3 3 3 2" xfId="14097" xr:uid="{5D9C2426-D85D-4282-ABC6-F821FF53EAEC}"/>
    <cellStyle name="Normal 5 5 3 3 3 3" xfId="22525" xr:uid="{FDC949FB-3979-40F6-B037-8E97E8418012}"/>
    <cellStyle name="Normal 5 5 3 3 4" xfId="9879" xr:uid="{68F10B38-959F-481B-B5A4-15750AD7ABD0}"/>
    <cellStyle name="Normal 5 5 3 3 5" xfId="18308" xr:uid="{ACFF9A9D-2129-4B0D-B09B-47BC78939609}"/>
    <cellStyle name="Normal 5 5 3 4" xfId="1772" xr:uid="{00000000-0005-0000-0000-00007D1B0000}"/>
    <cellStyle name="Normal 5 5 3 4 2" xfId="4002" xr:uid="{00000000-0005-0000-0000-00007E1B0000}"/>
    <cellStyle name="Normal 5 5 3 4 2 2" xfId="8226" xr:uid="{00000000-0005-0000-0000-00007F1B0000}"/>
    <cellStyle name="Normal 5 5 3 4 2 2 2" xfId="16655" xr:uid="{6A7AFE3B-209F-4480-9E56-E95C04E7CB2B}"/>
    <cellStyle name="Normal 5 5 3 4 2 2 3" xfId="25083" xr:uid="{D2110FC1-D0B7-4B8F-AE56-4827E4B1AED3}"/>
    <cellStyle name="Normal 5 5 3 4 2 3" xfId="12437" xr:uid="{14FCCA91-0DF9-4D67-8C64-6358BED7D17C}"/>
    <cellStyle name="Normal 5 5 3 4 2 4" xfId="20866" xr:uid="{8E76A405-385D-448E-A116-55E1DA3C8FF4}"/>
    <cellStyle name="Normal 5 5 3 4 3" xfId="6081" xr:uid="{00000000-0005-0000-0000-0000801B0000}"/>
    <cellStyle name="Normal 5 5 3 4 3 2" xfId="14510" xr:uid="{4FC09F8E-D76D-4F6D-A6FD-82FAF75EF2CA}"/>
    <cellStyle name="Normal 5 5 3 4 3 3" xfId="22938" xr:uid="{DE3E9EFB-B7AF-42C4-BC76-63085A1DEE16}"/>
    <cellStyle name="Normal 5 5 3 4 4" xfId="10292" xr:uid="{81AD8982-EEC0-47BF-AA7F-EF8632FE782F}"/>
    <cellStyle name="Normal 5 5 3 4 5" xfId="18721" xr:uid="{679939CD-B66D-4CBD-AB40-21E529CA6076}"/>
    <cellStyle name="Normal 5 5 3 5" xfId="2186" xr:uid="{00000000-0005-0000-0000-0000811B0000}"/>
    <cellStyle name="Normal 5 5 3 5 2" xfId="4415" xr:uid="{00000000-0005-0000-0000-0000821B0000}"/>
    <cellStyle name="Normal 5 5 3 5 2 2" xfId="8639" xr:uid="{00000000-0005-0000-0000-0000831B0000}"/>
    <cellStyle name="Normal 5 5 3 5 2 2 2" xfId="17068" xr:uid="{8CC707F4-4D98-492E-9DC7-B036D23588C8}"/>
    <cellStyle name="Normal 5 5 3 5 2 2 3" xfId="25496" xr:uid="{8F3AFEE8-F19B-4EF5-B275-69B09C584B25}"/>
    <cellStyle name="Normal 5 5 3 5 2 3" xfId="12850" xr:uid="{FB41F0E0-37A7-4323-A259-E691493CA1AE}"/>
    <cellStyle name="Normal 5 5 3 5 2 4" xfId="21279" xr:uid="{4A7FFCAC-A70A-485C-9B10-6E8FE4F0A315}"/>
    <cellStyle name="Normal 5 5 3 5 3" xfId="6494" xr:uid="{00000000-0005-0000-0000-0000841B0000}"/>
    <cellStyle name="Normal 5 5 3 5 3 2" xfId="14923" xr:uid="{4191F7D8-E599-43C9-BD88-C8BC64BC1A7D}"/>
    <cellStyle name="Normal 5 5 3 5 3 3" xfId="23351" xr:uid="{24DCC542-FC5C-4C32-B71C-8DA2DE1826F9}"/>
    <cellStyle name="Normal 5 5 3 5 4" xfId="10705" xr:uid="{2E8A4AC5-3726-4EC2-AB41-0B3B8CF8DE5F}"/>
    <cellStyle name="Normal 5 5 3 5 5" xfId="19134" xr:uid="{83011C0A-0291-4B07-9521-0C19B4C23B60}"/>
    <cellStyle name="Normal 5 5 3 6" xfId="2622" xr:uid="{00000000-0005-0000-0000-0000851B0000}"/>
    <cellStyle name="Normal 5 5 3 6 2" xfId="6907" xr:uid="{00000000-0005-0000-0000-0000861B0000}"/>
    <cellStyle name="Normal 5 5 3 6 2 2" xfId="15336" xr:uid="{3E182B24-EA48-48D3-954F-42D89FC1FF8C}"/>
    <cellStyle name="Normal 5 5 3 6 2 3" xfId="23764" xr:uid="{9740F3FF-AA0C-4376-9000-3E14C294CBE3}"/>
    <cellStyle name="Normal 5 5 3 6 3" xfId="11118" xr:uid="{B6CD8E9D-C214-43D6-948C-7F8F0FA74732}"/>
    <cellStyle name="Normal 5 5 3 6 4" xfId="19547" xr:uid="{B65EEF63-A0EE-40E7-A6EE-FB6B6B733747}"/>
    <cellStyle name="Normal 5 5 3 7" xfId="4842" xr:uid="{00000000-0005-0000-0000-0000871B0000}"/>
    <cellStyle name="Normal 5 5 3 7 2" xfId="13271" xr:uid="{DD22F9B6-AC31-4AE0-8260-70C5E93DA6BF}"/>
    <cellStyle name="Normal 5 5 3 7 3" xfId="21699" xr:uid="{93F76066-0C0A-4985-8ADF-D66619CAA5AF}"/>
    <cellStyle name="Normal 5 5 3 8" xfId="9053" xr:uid="{F78C4898-F620-4DCB-A43A-B122C85747C9}"/>
    <cellStyle name="Normal 5 5 3 9" xfId="17482" xr:uid="{71E45980-3CC8-49B6-94CA-B249E2F5758F}"/>
    <cellStyle name="Normal 5 5 4" xfId="939" xr:uid="{00000000-0005-0000-0000-0000881B0000}"/>
    <cellStyle name="Normal 5 5 4 2" xfId="3173" xr:uid="{00000000-0005-0000-0000-0000891B0000}"/>
    <cellStyle name="Normal 5 5 4 2 2" xfId="7397" xr:uid="{00000000-0005-0000-0000-00008A1B0000}"/>
    <cellStyle name="Normal 5 5 4 2 2 2" xfId="15826" xr:uid="{AEDE1ED9-A7D2-4A42-8DE5-5075BDBE0539}"/>
    <cellStyle name="Normal 5 5 4 2 2 3" xfId="24254" xr:uid="{1B5752AF-12A8-4C5C-AF57-C401084F33D7}"/>
    <cellStyle name="Normal 5 5 4 2 3" xfId="11608" xr:uid="{9772AE2C-D9C9-44B4-B240-8BC119AF2275}"/>
    <cellStyle name="Normal 5 5 4 2 4" xfId="20037" xr:uid="{C77C31D3-1C8D-4569-9A7B-3ED2DAE5F01C}"/>
    <cellStyle name="Normal 5 5 4 3" xfId="5252" xr:uid="{00000000-0005-0000-0000-00008B1B0000}"/>
    <cellStyle name="Normal 5 5 4 3 2" xfId="13681" xr:uid="{8A3DE4A3-B570-41AB-976C-BC594A183243}"/>
    <cellStyle name="Normal 5 5 4 3 3" xfId="22109" xr:uid="{C602E2D0-D7BD-4CA5-BC0B-069F5228BE57}"/>
    <cellStyle name="Normal 5 5 4 4" xfId="9463" xr:uid="{4A08A682-357C-4B5C-876C-ACFC96169392}"/>
    <cellStyle name="Normal 5 5 4 5" xfId="17892" xr:uid="{8857ACFC-6996-4837-8125-C058E44A2E59}"/>
    <cellStyle name="Normal 5 5 5" xfId="1356" xr:uid="{00000000-0005-0000-0000-00008C1B0000}"/>
    <cellStyle name="Normal 5 5 5 2" xfId="3586" xr:uid="{00000000-0005-0000-0000-00008D1B0000}"/>
    <cellStyle name="Normal 5 5 5 2 2" xfId="7810" xr:uid="{00000000-0005-0000-0000-00008E1B0000}"/>
    <cellStyle name="Normal 5 5 5 2 2 2" xfId="16239" xr:uid="{D5E29733-87B6-4E2D-8EE6-5EAF6E8137AD}"/>
    <cellStyle name="Normal 5 5 5 2 2 3" xfId="24667" xr:uid="{4F2B66C4-F733-42CA-9022-2337FBF06558}"/>
    <cellStyle name="Normal 5 5 5 2 3" xfId="12021" xr:uid="{17A518BD-54FB-4AA2-AB1A-F3E6FFBF0E14}"/>
    <cellStyle name="Normal 5 5 5 2 4" xfId="20450" xr:uid="{8265C87A-01CF-4B1B-9079-4C5EA394F55A}"/>
    <cellStyle name="Normal 5 5 5 3" xfId="5665" xr:uid="{00000000-0005-0000-0000-00008F1B0000}"/>
    <cellStyle name="Normal 5 5 5 3 2" xfId="14094" xr:uid="{EA386C7B-5C72-471D-BD0F-6E982DA0B095}"/>
    <cellStyle name="Normal 5 5 5 3 3" xfId="22522" xr:uid="{301EED91-0D17-46D5-978F-21556196BD0C}"/>
    <cellStyle name="Normal 5 5 5 4" xfId="9876" xr:uid="{49DE0708-F844-4256-9174-1E039950B355}"/>
    <cellStyle name="Normal 5 5 5 5" xfId="18305" xr:uid="{77A03C77-6BD4-4DC5-818B-1314F3D5512B}"/>
    <cellStyle name="Normal 5 5 6" xfId="1769" xr:uid="{00000000-0005-0000-0000-0000901B0000}"/>
    <cellStyle name="Normal 5 5 6 2" xfId="3999" xr:uid="{00000000-0005-0000-0000-0000911B0000}"/>
    <cellStyle name="Normal 5 5 6 2 2" xfId="8223" xr:uid="{00000000-0005-0000-0000-0000921B0000}"/>
    <cellStyle name="Normal 5 5 6 2 2 2" xfId="16652" xr:uid="{F306E076-C461-4A1D-9A11-84140000F711}"/>
    <cellStyle name="Normal 5 5 6 2 2 3" xfId="25080" xr:uid="{6E41E5C2-E457-4FD9-827E-FC72C0E54C32}"/>
    <cellStyle name="Normal 5 5 6 2 3" xfId="12434" xr:uid="{33204551-A721-40A3-BB20-2AD2C12292EC}"/>
    <cellStyle name="Normal 5 5 6 2 4" xfId="20863" xr:uid="{E4773655-86B5-4DEB-9FF1-31155E01C59E}"/>
    <cellStyle name="Normal 5 5 6 3" xfId="6078" xr:uid="{00000000-0005-0000-0000-0000931B0000}"/>
    <cellStyle name="Normal 5 5 6 3 2" xfId="14507" xr:uid="{D1B5C881-1F1E-4029-A6E7-788F88006EEE}"/>
    <cellStyle name="Normal 5 5 6 3 3" xfId="22935" xr:uid="{CA4FC65E-82AD-48FB-8D77-831D14EDCF11}"/>
    <cellStyle name="Normal 5 5 6 4" xfId="10289" xr:uid="{04209132-6291-4BF5-9276-01C6E605DF80}"/>
    <cellStyle name="Normal 5 5 6 5" xfId="18718" xr:uid="{4FDC510D-5BBB-484D-A166-A0648B97B5DA}"/>
    <cellStyle name="Normal 5 5 7" xfId="2183" xr:uid="{00000000-0005-0000-0000-0000941B0000}"/>
    <cellStyle name="Normal 5 5 7 2" xfId="4412" xr:uid="{00000000-0005-0000-0000-0000951B0000}"/>
    <cellStyle name="Normal 5 5 7 2 2" xfId="8636" xr:uid="{00000000-0005-0000-0000-0000961B0000}"/>
    <cellStyle name="Normal 5 5 7 2 2 2" xfId="17065" xr:uid="{EA368EE4-13DA-474A-84E0-AEE1FE3937DB}"/>
    <cellStyle name="Normal 5 5 7 2 2 3" xfId="25493" xr:uid="{214908C1-41DE-4A3D-9263-C6D696A8D0A9}"/>
    <cellStyle name="Normal 5 5 7 2 3" xfId="12847" xr:uid="{53DC7FAA-B58C-423A-B372-51E1A77D854E}"/>
    <cellStyle name="Normal 5 5 7 2 4" xfId="21276" xr:uid="{BD901A71-91D7-4945-8D14-E59A7FC22EE2}"/>
    <cellStyle name="Normal 5 5 7 3" xfId="6491" xr:uid="{00000000-0005-0000-0000-0000971B0000}"/>
    <cellStyle name="Normal 5 5 7 3 2" xfId="14920" xr:uid="{D8EF24F3-F603-4307-9EB0-F629DC53DD71}"/>
    <cellStyle name="Normal 5 5 7 3 3" xfId="23348" xr:uid="{BAF5CA3E-C21A-41A2-A8E2-E62F1477329F}"/>
    <cellStyle name="Normal 5 5 7 4" xfId="10702" xr:uid="{5DB785BF-A02D-4BAC-9C29-E6291E27A94C}"/>
    <cellStyle name="Normal 5 5 7 5" xfId="19131" xr:uid="{3BFA4219-9AC5-4366-AE00-CE512A99C94F}"/>
    <cellStyle name="Normal 5 5 8" xfId="2619" xr:uid="{00000000-0005-0000-0000-0000981B0000}"/>
    <cellStyle name="Normal 5 5 8 2" xfId="6904" xr:uid="{00000000-0005-0000-0000-0000991B0000}"/>
    <cellStyle name="Normal 5 5 8 2 2" xfId="15333" xr:uid="{B5452B1C-A9A0-42CF-98A6-4C3A26D5A639}"/>
    <cellStyle name="Normal 5 5 8 2 3" xfId="23761" xr:uid="{4836C1C9-5DAC-4F46-819C-4CA1A1F0646B}"/>
    <cellStyle name="Normal 5 5 8 3" xfId="11115" xr:uid="{91164BF0-91BC-4F45-B003-C0D52AB615BE}"/>
    <cellStyle name="Normal 5 5 8 4" xfId="19544" xr:uid="{4347C1E3-DD1D-471F-BBAC-8765C651421D}"/>
    <cellStyle name="Normal 5 5 9" xfId="4839" xr:uid="{00000000-0005-0000-0000-00009A1B0000}"/>
    <cellStyle name="Normal 5 5 9 2" xfId="13268" xr:uid="{AE58E6C3-217C-451D-80E8-71832E5ED5ED}"/>
    <cellStyle name="Normal 5 5 9 3" xfId="21696" xr:uid="{8573B7E6-3433-4F82-9D12-5544D5930F5D}"/>
    <cellStyle name="Normal 5 6" xfId="468" xr:uid="{00000000-0005-0000-0000-00009B1B0000}"/>
    <cellStyle name="Normal 5 6 10" xfId="17483" xr:uid="{115387DA-F60D-4203-AB33-F8544FF692CF}"/>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31" xr:uid="{C2F1E268-C247-4E61-8741-AE40C4D604C8}"/>
    <cellStyle name="Normal 5 6 2 2 2 2 3" xfId="24259" xr:uid="{FEAF2D25-543B-40FB-A9C9-A3A39AB4CB70}"/>
    <cellStyle name="Normal 5 6 2 2 2 3" xfId="11613" xr:uid="{335800E9-4840-49CE-9841-C936A265F8A8}"/>
    <cellStyle name="Normal 5 6 2 2 2 4" xfId="20042" xr:uid="{F0D0D3A7-F864-4CFB-9E73-9BEB63C12AA8}"/>
    <cellStyle name="Normal 5 6 2 2 3" xfId="5257" xr:uid="{00000000-0005-0000-0000-0000A01B0000}"/>
    <cellStyle name="Normal 5 6 2 2 3 2" xfId="13686" xr:uid="{C5AC05E8-BF66-4DC5-9CE8-F2CF281C5680}"/>
    <cellStyle name="Normal 5 6 2 2 3 3" xfId="22114" xr:uid="{5744E731-344E-41B1-99FD-935AEDD70398}"/>
    <cellStyle name="Normal 5 6 2 2 4" xfId="9468" xr:uid="{716D7C2D-B183-42F7-9CED-D2E192F07127}"/>
    <cellStyle name="Normal 5 6 2 2 5" xfId="17897" xr:uid="{37C9E096-070D-4AF5-9731-5BE6AE7FC50B}"/>
    <cellStyle name="Normal 5 6 2 3" xfId="1361" xr:uid="{00000000-0005-0000-0000-0000A11B0000}"/>
    <cellStyle name="Normal 5 6 2 3 2" xfId="3591" xr:uid="{00000000-0005-0000-0000-0000A21B0000}"/>
    <cellStyle name="Normal 5 6 2 3 2 2" xfId="7815" xr:uid="{00000000-0005-0000-0000-0000A31B0000}"/>
    <cellStyle name="Normal 5 6 2 3 2 2 2" xfId="16244" xr:uid="{2F323999-8300-4B3D-96D4-54CC7D3AC861}"/>
    <cellStyle name="Normal 5 6 2 3 2 2 3" xfId="24672" xr:uid="{F0F4412A-8FEF-4B4D-BBA9-AB3591492DDE}"/>
    <cellStyle name="Normal 5 6 2 3 2 3" xfId="12026" xr:uid="{75ECD44F-78C4-482B-A472-CDCF1C842CDD}"/>
    <cellStyle name="Normal 5 6 2 3 2 4" xfId="20455" xr:uid="{DB3C245E-EC4C-477F-8239-05AB706BBD60}"/>
    <cellStyle name="Normal 5 6 2 3 3" xfId="5670" xr:uid="{00000000-0005-0000-0000-0000A41B0000}"/>
    <cellStyle name="Normal 5 6 2 3 3 2" xfId="14099" xr:uid="{BD79501E-8B91-4A33-95CB-6A9C5CF6A09E}"/>
    <cellStyle name="Normal 5 6 2 3 3 3" xfId="22527" xr:uid="{79A3D939-392C-4411-A632-C05FE526321A}"/>
    <cellStyle name="Normal 5 6 2 3 4" xfId="9881" xr:uid="{320891FD-E22B-41B4-9B4A-1E84B015D770}"/>
    <cellStyle name="Normal 5 6 2 3 5" xfId="18310" xr:uid="{ECD990BE-B5D6-441F-80E1-83660EF10F03}"/>
    <cellStyle name="Normal 5 6 2 4" xfId="1774" xr:uid="{00000000-0005-0000-0000-0000A51B0000}"/>
    <cellStyle name="Normal 5 6 2 4 2" xfId="4004" xr:uid="{00000000-0005-0000-0000-0000A61B0000}"/>
    <cellStyle name="Normal 5 6 2 4 2 2" xfId="8228" xr:uid="{00000000-0005-0000-0000-0000A71B0000}"/>
    <cellStyle name="Normal 5 6 2 4 2 2 2" xfId="16657" xr:uid="{586BC684-2FD7-4A62-8AA8-98A589EB9D37}"/>
    <cellStyle name="Normal 5 6 2 4 2 2 3" xfId="25085" xr:uid="{3BF3F389-FC50-49C2-BF6E-992CF187FC32}"/>
    <cellStyle name="Normal 5 6 2 4 2 3" xfId="12439" xr:uid="{2DF65FF4-6CAE-4676-AEC6-44A01D7A065E}"/>
    <cellStyle name="Normal 5 6 2 4 2 4" xfId="20868" xr:uid="{90FFF4ED-FBA0-47F1-BF7D-533CF3201621}"/>
    <cellStyle name="Normal 5 6 2 4 3" xfId="6083" xr:uid="{00000000-0005-0000-0000-0000A81B0000}"/>
    <cellStyle name="Normal 5 6 2 4 3 2" xfId="14512" xr:uid="{5309F221-196B-4BB6-8A0B-D19BF58A41F0}"/>
    <cellStyle name="Normal 5 6 2 4 3 3" xfId="22940" xr:uid="{6CEF5F2E-32E2-4EF6-912B-7A51CC34EC23}"/>
    <cellStyle name="Normal 5 6 2 4 4" xfId="10294" xr:uid="{2B404F31-C8E8-417E-A9A0-256F53663AD1}"/>
    <cellStyle name="Normal 5 6 2 4 5" xfId="18723" xr:uid="{1D902ECB-098E-4B2A-BC39-ABE9ADDCAC31}"/>
    <cellStyle name="Normal 5 6 2 5" xfId="2188" xr:uid="{00000000-0005-0000-0000-0000A91B0000}"/>
    <cellStyle name="Normal 5 6 2 5 2" xfId="4417" xr:uid="{00000000-0005-0000-0000-0000AA1B0000}"/>
    <cellStyle name="Normal 5 6 2 5 2 2" xfId="8641" xr:uid="{00000000-0005-0000-0000-0000AB1B0000}"/>
    <cellStyle name="Normal 5 6 2 5 2 2 2" xfId="17070" xr:uid="{5E2D95A2-0E75-4638-BC38-BB3C82B6F51F}"/>
    <cellStyle name="Normal 5 6 2 5 2 2 3" xfId="25498" xr:uid="{4C615F90-E1E2-439A-B640-41B4E66A0478}"/>
    <cellStyle name="Normal 5 6 2 5 2 3" xfId="12852" xr:uid="{C92C3162-A215-42F3-9A98-DE3283E2A3BF}"/>
    <cellStyle name="Normal 5 6 2 5 2 4" xfId="21281" xr:uid="{EB6C4374-CF03-4617-A77D-3EB6D8CC5258}"/>
    <cellStyle name="Normal 5 6 2 5 3" xfId="6496" xr:uid="{00000000-0005-0000-0000-0000AC1B0000}"/>
    <cellStyle name="Normal 5 6 2 5 3 2" xfId="14925" xr:uid="{DC4609FB-2B6F-42FD-8297-DD5D2FB0A861}"/>
    <cellStyle name="Normal 5 6 2 5 3 3" xfId="23353" xr:uid="{9D311B81-D70F-448F-ADEC-02115253170B}"/>
    <cellStyle name="Normal 5 6 2 5 4" xfId="10707" xr:uid="{A83ED76E-BDAF-4225-8C9D-64FB6EA94E7D}"/>
    <cellStyle name="Normal 5 6 2 5 5" xfId="19136" xr:uid="{A7C1783E-4EDC-43C5-AC3C-87C967190298}"/>
    <cellStyle name="Normal 5 6 2 6" xfId="2624" xr:uid="{00000000-0005-0000-0000-0000AD1B0000}"/>
    <cellStyle name="Normal 5 6 2 6 2" xfId="6909" xr:uid="{00000000-0005-0000-0000-0000AE1B0000}"/>
    <cellStyle name="Normal 5 6 2 6 2 2" xfId="15338" xr:uid="{DC87352A-9B66-4BC8-9AD9-E42FCDCA87B4}"/>
    <cellStyle name="Normal 5 6 2 6 2 3" xfId="23766" xr:uid="{EE56FB84-C777-489B-934F-1190FFCD5C3B}"/>
    <cellStyle name="Normal 5 6 2 6 3" xfId="11120" xr:uid="{58C258F8-5587-4342-AFA6-43FA32276817}"/>
    <cellStyle name="Normal 5 6 2 6 4" xfId="19549" xr:uid="{6D2FD991-D14E-43BA-8DE7-C3428CBCE343}"/>
    <cellStyle name="Normal 5 6 2 7" xfId="4844" xr:uid="{00000000-0005-0000-0000-0000AF1B0000}"/>
    <cellStyle name="Normal 5 6 2 7 2" xfId="13273" xr:uid="{12D58200-1B89-4CC9-A178-9FE73DBBF8DE}"/>
    <cellStyle name="Normal 5 6 2 7 3" xfId="21701" xr:uid="{52D69101-F169-4B3B-BE8D-C7096ECA503F}"/>
    <cellStyle name="Normal 5 6 2 8" xfId="9055" xr:uid="{A1C545F2-D970-48CA-AD9A-3C2E074177D9}"/>
    <cellStyle name="Normal 5 6 2 9" xfId="17484" xr:uid="{1E534F2D-CB59-46F3-8099-D6F6D0E771F1}"/>
    <cellStyle name="Normal 5 6 3" xfId="943" xr:uid="{00000000-0005-0000-0000-0000B01B0000}"/>
    <cellStyle name="Normal 5 6 3 2" xfId="3177" xr:uid="{00000000-0005-0000-0000-0000B11B0000}"/>
    <cellStyle name="Normal 5 6 3 2 2" xfId="7401" xr:uid="{00000000-0005-0000-0000-0000B21B0000}"/>
    <cellStyle name="Normal 5 6 3 2 2 2" xfId="15830" xr:uid="{E749B90F-6D0C-41B7-9227-C2A4C4AE32F4}"/>
    <cellStyle name="Normal 5 6 3 2 2 3" xfId="24258" xr:uid="{02559FAD-7CCB-447E-B061-FB03984AECA0}"/>
    <cellStyle name="Normal 5 6 3 2 3" xfId="11612" xr:uid="{BC7AD43B-D964-4392-9084-6CDB607B9809}"/>
    <cellStyle name="Normal 5 6 3 2 4" xfId="20041" xr:uid="{CA007E9F-1819-4B44-9EBB-B27537C92BC1}"/>
    <cellStyle name="Normal 5 6 3 3" xfId="5256" xr:uid="{00000000-0005-0000-0000-0000B31B0000}"/>
    <cellStyle name="Normal 5 6 3 3 2" xfId="13685" xr:uid="{AB6555B3-8298-40B7-9204-3FE582196D15}"/>
    <cellStyle name="Normal 5 6 3 3 3" xfId="22113" xr:uid="{875DD5EF-8750-49CD-99DD-58BEC0E2A669}"/>
    <cellStyle name="Normal 5 6 3 4" xfId="9467" xr:uid="{B2C92809-85B5-48A7-8613-D93017E558CF}"/>
    <cellStyle name="Normal 5 6 3 5" xfId="17896" xr:uid="{57A6F62B-2D6A-46DF-AB53-789CA011A2BF}"/>
    <cellStyle name="Normal 5 6 4" xfId="1360" xr:uid="{00000000-0005-0000-0000-0000B41B0000}"/>
    <cellStyle name="Normal 5 6 4 2" xfId="3590" xr:uid="{00000000-0005-0000-0000-0000B51B0000}"/>
    <cellStyle name="Normal 5 6 4 2 2" xfId="7814" xr:uid="{00000000-0005-0000-0000-0000B61B0000}"/>
    <cellStyle name="Normal 5 6 4 2 2 2" xfId="16243" xr:uid="{EF4EDE66-D160-4BA3-B8B2-D8DA2D9503FA}"/>
    <cellStyle name="Normal 5 6 4 2 2 3" xfId="24671" xr:uid="{9FA81D73-ABD8-4369-9829-E68E330E1294}"/>
    <cellStyle name="Normal 5 6 4 2 3" xfId="12025" xr:uid="{7D280DF8-94B7-4000-A138-1D4FCACA6FE9}"/>
    <cellStyle name="Normal 5 6 4 2 4" xfId="20454" xr:uid="{33AC9AD3-3BB2-4324-A4F1-DB3ED52AB07A}"/>
    <cellStyle name="Normal 5 6 4 3" xfId="5669" xr:uid="{00000000-0005-0000-0000-0000B71B0000}"/>
    <cellStyle name="Normal 5 6 4 3 2" xfId="14098" xr:uid="{57C0C1EB-090A-4A4B-AADA-DE88899C635D}"/>
    <cellStyle name="Normal 5 6 4 3 3" xfId="22526" xr:uid="{9DBEB26C-E22E-4E89-A8DE-4EF18E7947D5}"/>
    <cellStyle name="Normal 5 6 4 4" xfId="9880" xr:uid="{FD8B097F-439B-424A-A9C6-28E5D32F5508}"/>
    <cellStyle name="Normal 5 6 4 5" xfId="18309" xr:uid="{33F11B7D-3757-4BAF-AFA2-696EC990F8AF}"/>
    <cellStyle name="Normal 5 6 5" xfId="1773" xr:uid="{00000000-0005-0000-0000-0000B81B0000}"/>
    <cellStyle name="Normal 5 6 5 2" xfId="4003" xr:uid="{00000000-0005-0000-0000-0000B91B0000}"/>
    <cellStyle name="Normal 5 6 5 2 2" xfId="8227" xr:uid="{00000000-0005-0000-0000-0000BA1B0000}"/>
    <cellStyle name="Normal 5 6 5 2 2 2" xfId="16656" xr:uid="{2641E1B8-551E-4C49-ABCB-2C602A9328AF}"/>
    <cellStyle name="Normal 5 6 5 2 2 3" xfId="25084" xr:uid="{36DA8447-FD9E-4205-8482-A9DB5A2294A2}"/>
    <cellStyle name="Normal 5 6 5 2 3" xfId="12438" xr:uid="{005E4000-BF1F-4993-8D34-90FB5890650B}"/>
    <cellStyle name="Normal 5 6 5 2 4" xfId="20867" xr:uid="{1624FA06-C085-4CDF-A1FF-4C30334FC34E}"/>
    <cellStyle name="Normal 5 6 5 3" xfId="6082" xr:uid="{00000000-0005-0000-0000-0000BB1B0000}"/>
    <cellStyle name="Normal 5 6 5 3 2" xfId="14511" xr:uid="{5BB54569-B1D9-46B4-895F-939BBFA84CA1}"/>
    <cellStyle name="Normal 5 6 5 3 3" xfId="22939" xr:uid="{E3748770-7BF7-4932-B50E-7B4D947F4B38}"/>
    <cellStyle name="Normal 5 6 5 4" xfId="10293" xr:uid="{63E7893C-7913-4BE5-BEA1-D4B7880802B1}"/>
    <cellStyle name="Normal 5 6 5 5" xfId="18722" xr:uid="{BC1A1ED1-0B01-4CA6-AADC-8C927588881A}"/>
    <cellStyle name="Normal 5 6 6" xfId="2187" xr:uid="{00000000-0005-0000-0000-0000BC1B0000}"/>
    <cellStyle name="Normal 5 6 6 2" xfId="4416" xr:uid="{00000000-0005-0000-0000-0000BD1B0000}"/>
    <cellStyle name="Normal 5 6 6 2 2" xfId="8640" xr:uid="{00000000-0005-0000-0000-0000BE1B0000}"/>
    <cellStyle name="Normal 5 6 6 2 2 2" xfId="17069" xr:uid="{CD568811-DD31-437D-AA0E-C0AE16805F0A}"/>
    <cellStyle name="Normal 5 6 6 2 2 3" xfId="25497" xr:uid="{C89C4E7A-A4D4-443B-BA47-C9C57EF28410}"/>
    <cellStyle name="Normal 5 6 6 2 3" xfId="12851" xr:uid="{1320FB18-3767-4BEF-AAB5-83E54173875F}"/>
    <cellStyle name="Normal 5 6 6 2 4" xfId="21280" xr:uid="{5987A6F3-11D4-44CE-AB64-2014755CFB98}"/>
    <cellStyle name="Normal 5 6 6 3" xfId="6495" xr:uid="{00000000-0005-0000-0000-0000BF1B0000}"/>
    <cellStyle name="Normal 5 6 6 3 2" xfId="14924" xr:uid="{3F00E53A-2DFF-4D3C-AAD5-A446201E15F1}"/>
    <cellStyle name="Normal 5 6 6 3 3" xfId="23352" xr:uid="{F6A48179-1343-4216-AA24-5163C3B9468B}"/>
    <cellStyle name="Normal 5 6 6 4" xfId="10706" xr:uid="{01084F2F-87D1-4F95-B749-D3135893A734}"/>
    <cellStyle name="Normal 5 6 6 5" xfId="19135" xr:uid="{BD77A440-E10B-4CEC-89DC-63D5F9CEA88C}"/>
    <cellStyle name="Normal 5 6 7" xfId="2623" xr:uid="{00000000-0005-0000-0000-0000C01B0000}"/>
    <cellStyle name="Normal 5 6 7 2" xfId="6908" xr:uid="{00000000-0005-0000-0000-0000C11B0000}"/>
    <cellStyle name="Normal 5 6 7 2 2" xfId="15337" xr:uid="{8F079C6D-4683-464F-94BD-1CE75972AD02}"/>
    <cellStyle name="Normal 5 6 7 2 3" xfId="23765" xr:uid="{7F868B4F-1D5B-4957-8A56-1BDE46DB1B30}"/>
    <cellStyle name="Normal 5 6 7 3" xfId="11119" xr:uid="{D1B12954-05F4-4684-8790-D7C3D68F7DAE}"/>
    <cellStyle name="Normal 5 6 7 4" xfId="19548" xr:uid="{B56A3864-FCF5-43D6-9E68-65DE06227F51}"/>
    <cellStyle name="Normal 5 6 8" xfId="4843" xr:uid="{00000000-0005-0000-0000-0000C21B0000}"/>
    <cellStyle name="Normal 5 6 8 2" xfId="13272" xr:uid="{B91C020E-C894-4967-9F8E-EAF32F502AB5}"/>
    <cellStyle name="Normal 5 6 8 3" xfId="21700" xr:uid="{320E4D49-AC63-4924-9B16-28AECEA430DB}"/>
    <cellStyle name="Normal 5 6 9" xfId="9054" xr:uid="{6C77B32F-916A-41C0-B2CD-6E115AE663A4}"/>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32" xr:uid="{40FB93DB-37EC-453B-83EE-532654E02DCA}"/>
    <cellStyle name="Normal 5 7 2 2 2 3" xfId="24260" xr:uid="{90EA7F5C-D964-4121-9E50-6C88078DC0F2}"/>
    <cellStyle name="Normal 5 7 2 2 3" xfId="11614" xr:uid="{4EE237BF-FFB4-4E99-9A6E-10B3F4A48A73}"/>
    <cellStyle name="Normal 5 7 2 2 4" xfId="20043" xr:uid="{ACF082C2-A8EE-4248-BC30-FB893B0FCDC9}"/>
    <cellStyle name="Normal 5 7 2 3" xfId="5258" xr:uid="{00000000-0005-0000-0000-0000C71B0000}"/>
    <cellStyle name="Normal 5 7 2 3 2" xfId="13687" xr:uid="{6DF6B8E5-DE94-46B8-B47D-13F020B03A64}"/>
    <cellStyle name="Normal 5 7 2 3 3" xfId="22115" xr:uid="{D97F7171-5E47-4BE1-88FC-5AC98B9EBCB8}"/>
    <cellStyle name="Normal 5 7 2 4" xfId="9469" xr:uid="{EE40E844-75AC-47E2-8DE6-53D1A2749CEA}"/>
    <cellStyle name="Normal 5 7 2 5" xfId="17898" xr:uid="{FE28EA2C-2053-40FC-9775-60E1F598B874}"/>
    <cellStyle name="Normal 5 7 3" xfId="1362" xr:uid="{00000000-0005-0000-0000-0000C81B0000}"/>
    <cellStyle name="Normal 5 7 3 2" xfId="3592" xr:uid="{00000000-0005-0000-0000-0000C91B0000}"/>
    <cellStyle name="Normal 5 7 3 2 2" xfId="7816" xr:uid="{00000000-0005-0000-0000-0000CA1B0000}"/>
    <cellStyle name="Normal 5 7 3 2 2 2" xfId="16245" xr:uid="{5CFD886B-8CB1-48CA-A6B2-7AF3581E1526}"/>
    <cellStyle name="Normal 5 7 3 2 2 3" xfId="24673" xr:uid="{4FB176E2-C0EA-486B-A8E0-8156329CB7C6}"/>
    <cellStyle name="Normal 5 7 3 2 3" xfId="12027" xr:uid="{0453779C-7538-45D4-8DF7-BBF20F58D1C2}"/>
    <cellStyle name="Normal 5 7 3 2 4" xfId="20456" xr:uid="{0FF36ABE-5373-4CB1-9264-4B04C346288D}"/>
    <cellStyle name="Normal 5 7 3 3" xfId="5671" xr:uid="{00000000-0005-0000-0000-0000CB1B0000}"/>
    <cellStyle name="Normal 5 7 3 3 2" xfId="14100" xr:uid="{3BF7A0EF-D4A8-4FEE-998C-00ABC9249C44}"/>
    <cellStyle name="Normal 5 7 3 3 3" xfId="22528" xr:uid="{F60A45AD-9EAD-408E-B682-FE609125BF0C}"/>
    <cellStyle name="Normal 5 7 3 4" xfId="9882" xr:uid="{B061B463-68CC-49C1-9765-1C7325B5DD6C}"/>
    <cellStyle name="Normal 5 7 3 5" xfId="18311" xr:uid="{06E1586A-28ED-47C7-B411-947EA7582041}"/>
    <cellStyle name="Normal 5 7 4" xfId="1775" xr:uid="{00000000-0005-0000-0000-0000CC1B0000}"/>
    <cellStyle name="Normal 5 7 4 2" xfId="4005" xr:uid="{00000000-0005-0000-0000-0000CD1B0000}"/>
    <cellStyle name="Normal 5 7 4 2 2" xfId="8229" xr:uid="{00000000-0005-0000-0000-0000CE1B0000}"/>
    <cellStyle name="Normal 5 7 4 2 2 2" xfId="16658" xr:uid="{8A7F2AC5-7EB1-4F08-AE43-997DC1D0F335}"/>
    <cellStyle name="Normal 5 7 4 2 2 3" xfId="25086" xr:uid="{46339C06-214D-4875-9D64-4810DDC64D79}"/>
    <cellStyle name="Normal 5 7 4 2 3" xfId="12440" xr:uid="{ABAE5EEF-1362-4BFC-831D-442B60886F78}"/>
    <cellStyle name="Normal 5 7 4 2 4" xfId="20869" xr:uid="{F3435943-7455-4682-ACC0-1622B123C928}"/>
    <cellStyle name="Normal 5 7 4 3" xfId="6084" xr:uid="{00000000-0005-0000-0000-0000CF1B0000}"/>
    <cellStyle name="Normal 5 7 4 3 2" xfId="14513" xr:uid="{F4CB32DB-78EF-47F0-B172-F083A11B8363}"/>
    <cellStyle name="Normal 5 7 4 3 3" xfId="22941" xr:uid="{4D42F76D-634E-4323-BE24-3E262EDDBA94}"/>
    <cellStyle name="Normal 5 7 4 4" xfId="10295" xr:uid="{EE5039F7-BF82-423E-AB4E-03C82918D157}"/>
    <cellStyle name="Normal 5 7 4 5" xfId="18724" xr:uid="{1260EF8F-53A2-4F3A-9ACC-F0A6E0515F99}"/>
    <cellStyle name="Normal 5 7 5" xfId="2189" xr:uid="{00000000-0005-0000-0000-0000D01B0000}"/>
    <cellStyle name="Normal 5 7 5 2" xfId="4418" xr:uid="{00000000-0005-0000-0000-0000D11B0000}"/>
    <cellStyle name="Normal 5 7 5 2 2" xfId="8642" xr:uid="{00000000-0005-0000-0000-0000D21B0000}"/>
    <cellStyle name="Normal 5 7 5 2 2 2" xfId="17071" xr:uid="{4F9C8FF4-3D30-4F5D-9C72-3FBBFD0550B8}"/>
    <cellStyle name="Normal 5 7 5 2 2 3" xfId="25499" xr:uid="{9D12A074-37E4-4E28-B639-624D59C97B57}"/>
    <cellStyle name="Normal 5 7 5 2 3" xfId="12853" xr:uid="{28CC6A8B-D049-47D0-8050-0E42DF4A9965}"/>
    <cellStyle name="Normal 5 7 5 2 4" xfId="21282" xr:uid="{2D5EBDBD-0760-40B9-AFFE-BBEFF5A209AE}"/>
    <cellStyle name="Normal 5 7 5 3" xfId="6497" xr:uid="{00000000-0005-0000-0000-0000D31B0000}"/>
    <cellStyle name="Normal 5 7 5 3 2" xfId="14926" xr:uid="{C31D0632-5BFE-48F9-9819-D8174E6C4B66}"/>
    <cellStyle name="Normal 5 7 5 3 3" xfId="23354" xr:uid="{208578F1-C1A3-40D7-BBCA-4D6D09A87F62}"/>
    <cellStyle name="Normal 5 7 5 4" xfId="10708" xr:uid="{55CB3A97-F9DE-4436-A783-7201BFC8F3AC}"/>
    <cellStyle name="Normal 5 7 5 5" xfId="19137" xr:uid="{EEB7428F-B374-4FC7-AF2E-8C8F254F62B6}"/>
    <cellStyle name="Normal 5 7 6" xfId="2625" xr:uid="{00000000-0005-0000-0000-0000D41B0000}"/>
    <cellStyle name="Normal 5 7 6 2" xfId="6910" xr:uid="{00000000-0005-0000-0000-0000D51B0000}"/>
    <cellStyle name="Normal 5 7 6 2 2" xfId="15339" xr:uid="{A2CF2742-A19F-44E3-BEE8-6B0B7B981C8F}"/>
    <cellStyle name="Normal 5 7 6 2 3" xfId="23767" xr:uid="{ECC28872-19AF-4351-8245-C6A907CC4341}"/>
    <cellStyle name="Normal 5 7 6 3" xfId="11121" xr:uid="{468CCEDE-77E6-4619-82C3-BF575C442A2E}"/>
    <cellStyle name="Normal 5 7 6 4" xfId="19550" xr:uid="{DADBE207-C53F-441C-B7DC-682F9DBB08F9}"/>
    <cellStyle name="Normal 5 7 7" xfId="4845" xr:uid="{00000000-0005-0000-0000-0000D61B0000}"/>
    <cellStyle name="Normal 5 7 7 2" xfId="13274" xr:uid="{3DE83949-A153-432C-A29B-65E4434A1763}"/>
    <cellStyle name="Normal 5 7 7 3" xfId="21702" xr:uid="{6BA4DFEE-B7EF-410A-8805-0E27208520D0}"/>
    <cellStyle name="Normal 5 7 8" xfId="9056" xr:uid="{2AC87F6E-04EB-4F72-824D-3FCAA052117B}"/>
    <cellStyle name="Normal 5 7 9" xfId="17485" xr:uid="{1D92BBBB-A9E1-4AC8-ABEE-6F367B755E60}"/>
    <cellStyle name="Normal 5 8" xfId="881" xr:uid="{00000000-0005-0000-0000-0000D71B0000}"/>
    <cellStyle name="Normal 5 8 2" xfId="3116" xr:uid="{00000000-0005-0000-0000-0000D81B0000}"/>
    <cellStyle name="Normal 5 8 2 2" xfId="7340" xr:uid="{00000000-0005-0000-0000-0000D91B0000}"/>
    <cellStyle name="Normal 5 8 2 2 2" xfId="15769" xr:uid="{E8F1A1C5-1CE2-41BE-A942-BFFCD0351B55}"/>
    <cellStyle name="Normal 5 8 2 2 3" xfId="24197" xr:uid="{E5FA9B39-2F4A-4257-B41D-A3666E4CC1ED}"/>
    <cellStyle name="Normal 5 8 2 3" xfId="11551" xr:uid="{BD3F6CCD-F619-42C2-BC0A-ECF7992454B9}"/>
    <cellStyle name="Normal 5 8 2 4" xfId="19980" xr:uid="{BB6AAB99-A7F4-4FFE-8CD2-9E79EB4784C1}"/>
    <cellStyle name="Normal 5 8 3" xfId="5195" xr:uid="{00000000-0005-0000-0000-0000DA1B0000}"/>
    <cellStyle name="Normal 5 8 3 2" xfId="13624" xr:uid="{3D6B5B9C-DB80-45D3-AA64-DC6CDEC15930}"/>
    <cellStyle name="Normal 5 8 3 3" xfId="22052" xr:uid="{C0EC6B7D-50A3-4A1A-B242-15C739970244}"/>
    <cellStyle name="Normal 5 8 4" xfId="9406" xr:uid="{07BCAE5E-7377-4163-825B-82C5EF3B8225}"/>
    <cellStyle name="Normal 5 8 5" xfId="17835" xr:uid="{47C30061-AD93-4811-8EA1-EEADA1BB6ABD}"/>
    <cellStyle name="Normal 5 9" xfId="1299" xr:uid="{00000000-0005-0000-0000-0000DB1B0000}"/>
    <cellStyle name="Normal 5 9 2" xfId="3529" xr:uid="{00000000-0005-0000-0000-0000DC1B0000}"/>
    <cellStyle name="Normal 5 9 2 2" xfId="7753" xr:uid="{00000000-0005-0000-0000-0000DD1B0000}"/>
    <cellStyle name="Normal 5 9 2 2 2" xfId="16182" xr:uid="{26E4ACFD-DE8D-4469-9527-D4581D8D7A45}"/>
    <cellStyle name="Normal 5 9 2 2 3" xfId="24610" xr:uid="{16F40870-604B-4DF5-9614-0161237215F0}"/>
    <cellStyle name="Normal 5 9 2 3" xfId="11964" xr:uid="{1869EA58-00CD-4D6D-A8E8-CBFF9DF99B25}"/>
    <cellStyle name="Normal 5 9 2 4" xfId="20393" xr:uid="{EAB47B7C-5578-4118-8448-D7C1F1EBC217}"/>
    <cellStyle name="Normal 5 9 3" xfId="5608" xr:uid="{00000000-0005-0000-0000-0000DE1B0000}"/>
    <cellStyle name="Normal 5 9 3 2" xfId="14037" xr:uid="{4A553287-0382-487A-8EFF-9B49DB8761D2}"/>
    <cellStyle name="Normal 5 9 3 3" xfId="22465" xr:uid="{E8E1E8F6-2BB4-4B05-98B8-E112EF6876AA}"/>
    <cellStyle name="Normal 5 9 4" xfId="9819" xr:uid="{64021A2E-0E24-4C6D-9EF7-DF471FCB55BA}"/>
    <cellStyle name="Normal 5 9 5" xfId="18248" xr:uid="{227B2251-51C1-4568-B42B-8D1F7BFEE6E9}"/>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72" xr:uid="{AAF47A5B-D871-4F3F-8B2D-18568F7801FD}"/>
    <cellStyle name="Normal 8 10 2 2 3" xfId="25500" xr:uid="{7E5A0422-D83C-4981-B95B-99FE396270A6}"/>
    <cellStyle name="Normal 8 10 2 3" xfId="12854" xr:uid="{7C338A80-2C56-4501-B69A-9918A48B7AE2}"/>
    <cellStyle name="Normal 8 10 2 4" xfId="21283" xr:uid="{81FBFFA9-2199-47D9-9B6A-052A5BDD5B77}"/>
    <cellStyle name="Normal 8 10 3" xfId="6498" xr:uid="{00000000-0005-0000-0000-0000EA1B0000}"/>
    <cellStyle name="Normal 8 10 3 2" xfId="14927" xr:uid="{E5921B67-A649-4B41-BE4E-544E4ACBADC0}"/>
    <cellStyle name="Normal 8 10 3 3" xfId="23355" xr:uid="{32AF2493-04CD-46FD-95EF-5B1D3A5F6FC6}"/>
    <cellStyle name="Normal 8 10 4" xfId="10709" xr:uid="{D8CD3307-80DC-4B87-842D-BEF747DD83AC}"/>
    <cellStyle name="Normal 8 10 5" xfId="19138" xr:uid="{F781AF0C-6A35-4C55-9E6C-3734F5EC74BF}"/>
    <cellStyle name="Normal 8 11" xfId="2626" xr:uid="{00000000-0005-0000-0000-0000EB1B0000}"/>
    <cellStyle name="Normal 8 11 2" xfId="6911" xr:uid="{00000000-0005-0000-0000-0000EC1B0000}"/>
    <cellStyle name="Normal 8 11 2 2" xfId="15340" xr:uid="{73F967A2-7C34-4CE7-9FA7-E7D574B31F6D}"/>
    <cellStyle name="Normal 8 11 2 3" xfId="23768" xr:uid="{6785C4BB-3D76-49F1-8238-620701E30D3D}"/>
    <cellStyle name="Normal 8 11 3" xfId="11122" xr:uid="{D3372B19-48D3-4D03-9B56-2ED6E2C3B9D2}"/>
    <cellStyle name="Normal 8 11 4" xfId="19551" xr:uid="{8BE74439-9205-45D9-A580-E62856624361}"/>
    <cellStyle name="Normal 8 12" xfId="4846" xr:uid="{00000000-0005-0000-0000-0000ED1B0000}"/>
    <cellStyle name="Normal 8 12 2" xfId="13275" xr:uid="{DB8EC53D-D7C4-4012-B201-3A1E9B352C0F}"/>
    <cellStyle name="Normal 8 12 3" xfId="21703" xr:uid="{2EB9945D-BFA0-4BBD-831E-6E1A6A89C572}"/>
    <cellStyle name="Normal 8 13" xfId="9057" xr:uid="{138CE4C4-D235-4CDF-A56A-56F581773086}"/>
    <cellStyle name="Normal 8 14" xfId="17486" xr:uid="{459458D8-3961-4749-84AF-FA442CD1AC06}"/>
    <cellStyle name="Normal 8 2" xfId="479" xr:uid="{00000000-0005-0000-0000-0000EE1B0000}"/>
    <cellStyle name="Normal 8 2 10" xfId="2627" xr:uid="{00000000-0005-0000-0000-0000EF1B0000}"/>
    <cellStyle name="Normal 8 2 10 2" xfId="6912" xr:uid="{00000000-0005-0000-0000-0000F01B0000}"/>
    <cellStyle name="Normal 8 2 10 2 2" xfId="15341" xr:uid="{2FB7571E-F231-47C5-A07E-A0E343969E21}"/>
    <cellStyle name="Normal 8 2 10 2 3" xfId="23769" xr:uid="{1E47D933-7B81-4BF8-A780-C79ADFFDA7A4}"/>
    <cellStyle name="Normal 8 2 10 3" xfId="11123" xr:uid="{75ED81BC-D824-4836-9472-730C5E3ECABE}"/>
    <cellStyle name="Normal 8 2 10 4" xfId="19552" xr:uid="{8E299BB7-6943-4363-8E25-BAF4CA87103E}"/>
    <cellStyle name="Normal 8 2 11" xfId="4847" xr:uid="{00000000-0005-0000-0000-0000F11B0000}"/>
    <cellStyle name="Normal 8 2 11 2" xfId="13276" xr:uid="{D4D3FEF3-7346-4E8F-8824-7827B6D66B20}"/>
    <cellStyle name="Normal 8 2 11 3" xfId="21704" xr:uid="{7F802D29-1F00-41B8-8FEF-CA8B7D5145A1}"/>
    <cellStyle name="Normal 8 2 12" xfId="9058" xr:uid="{7DCCADDA-65A1-46F0-B2E8-F9710C24423D}"/>
    <cellStyle name="Normal 8 2 13" xfId="17487" xr:uid="{6A70C3BD-7DDB-4A2D-9A51-BB54FA6E517D}"/>
    <cellStyle name="Normal 8 2 2" xfId="480" xr:uid="{00000000-0005-0000-0000-0000F21B0000}"/>
    <cellStyle name="Normal 8 2 2 10" xfId="4848" xr:uid="{00000000-0005-0000-0000-0000F31B0000}"/>
    <cellStyle name="Normal 8 2 2 10 2" xfId="13277" xr:uid="{D3F1281F-722E-4B21-8472-0C36B4BC3B8C}"/>
    <cellStyle name="Normal 8 2 2 10 3" xfId="21705" xr:uid="{23B9E812-6AA1-4D7C-ACA3-9FECDD6DFCE2}"/>
    <cellStyle name="Normal 8 2 2 11" xfId="9059" xr:uid="{7A976AF2-C2F4-493D-844C-3044DBD27282}"/>
    <cellStyle name="Normal 8 2 2 12" xfId="17488" xr:uid="{1B0115A0-6E9E-442B-9456-7001A037240E}"/>
    <cellStyle name="Normal 8 2 2 2" xfId="481" xr:uid="{00000000-0005-0000-0000-0000F41B0000}"/>
    <cellStyle name="Normal 8 2 2 2 10" xfId="9060" xr:uid="{AF93327E-4BD8-462C-8802-C8688148D816}"/>
    <cellStyle name="Normal 8 2 2 2 11" xfId="17489" xr:uid="{11D2A9C7-CCDA-43BE-9D4D-89DB8B9D0A18}"/>
    <cellStyle name="Normal 8 2 2 2 2" xfId="482" xr:uid="{00000000-0005-0000-0000-0000F51B0000}"/>
    <cellStyle name="Normal 8 2 2 2 2 10" xfId="17490" xr:uid="{0453DB60-174F-4778-910F-83F708359E23}"/>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8" xr:uid="{39ABD760-A44D-488B-98BC-F3AAD385E56A}"/>
    <cellStyle name="Normal 8 2 2 2 2 2 2 2 2 3" xfId="24266" xr:uid="{C699CA7C-FEBA-4EDB-8C51-5B378EF0D597}"/>
    <cellStyle name="Normal 8 2 2 2 2 2 2 2 3" xfId="11620" xr:uid="{66AD4899-BF65-4019-8793-5A3E20828728}"/>
    <cellStyle name="Normal 8 2 2 2 2 2 2 2 4" xfId="20049" xr:uid="{1A2F536A-C499-4B27-BEC7-C55CE1BB1392}"/>
    <cellStyle name="Normal 8 2 2 2 2 2 2 3" xfId="5264" xr:uid="{00000000-0005-0000-0000-0000FA1B0000}"/>
    <cellStyle name="Normal 8 2 2 2 2 2 2 3 2" xfId="13693" xr:uid="{921C3BDB-43E6-443A-B5E6-5F8E94332F32}"/>
    <cellStyle name="Normal 8 2 2 2 2 2 2 3 3" xfId="22121" xr:uid="{19A4EE88-60AD-45F2-8823-5C2A0A0A218A}"/>
    <cellStyle name="Normal 8 2 2 2 2 2 2 4" xfId="9475" xr:uid="{1FB69361-1C1A-44CC-A920-F7DFC865F4F2}"/>
    <cellStyle name="Normal 8 2 2 2 2 2 2 5" xfId="17904" xr:uid="{BDAF918D-F3AA-4FFB-AF32-179EB97B1414}"/>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51" xr:uid="{D3CD853D-0429-49F6-BF55-E6DC716553F6}"/>
    <cellStyle name="Normal 8 2 2 2 2 2 3 2 2 3" xfId="24679" xr:uid="{0F56E7F8-343B-4FA3-A124-91C1A9F14846}"/>
    <cellStyle name="Normal 8 2 2 2 2 2 3 2 3" xfId="12033" xr:uid="{22E57CF5-8F1A-4CAD-8D19-ABDB4EE86BF4}"/>
    <cellStyle name="Normal 8 2 2 2 2 2 3 2 4" xfId="20462" xr:uid="{909B6541-4139-4143-A83C-41AFA4F5B93D}"/>
    <cellStyle name="Normal 8 2 2 2 2 2 3 3" xfId="5677" xr:uid="{00000000-0005-0000-0000-0000FE1B0000}"/>
    <cellStyle name="Normal 8 2 2 2 2 2 3 3 2" xfId="14106" xr:uid="{FA4C2589-652D-4A8E-8299-C6A6A533115B}"/>
    <cellStyle name="Normal 8 2 2 2 2 2 3 3 3" xfId="22534" xr:uid="{F131419E-FEEC-484D-B888-472660735007}"/>
    <cellStyle name="Normal 8 2 2 2 2 2 3 4" xfId="9888" xr:uid="{DD46203B-BFA4-4A4F-8080-7B27D3181132}"/>
    <cellStyle name="Normal 8 2 2 2 2 2 3 5" xfId="18317" xr:uid="{8DFBABD3-8B43-44D0-9018-FC3C7923451D}"/>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64" xr:uid="{27F32B59-EECD-4358-809E-B655F04437C3}"/>
    <cellStyle name="Normal 8 2 2 2 2 2 4 2 2 3" xfId="25092" xr:uid="{1A01176A-FE14-4ADE-9072-DA365A421CBF}"/>
    <cellStyle name="Normal 8 2 2 2 2 2 4 2 3" xfId="12446" xr:uid="{84BB1F1B-D478-499D-8383-06145600D70B}"/>
    <cellStyle name="Normal 8 2 2 2 2 2 4 2 4" xfId="20875" xr:uid="{380989DF-3D8A-4C5D-AE35-096F9B0B69E9}"/>
    <cellStyle name="Normal 8 2 2 2 2 2 4 3" xfId="6090" xr:uid="{00000000-0005-0000-0000-0000021C0000}"/>
    <cellStyle name="Normal 8 2 2 2 2 2 4 3 2" xfId="14519" xr:uid="{3E1BA97C-F160-4CEE-94D9-5880484AAFF2}"/>
    <cellStyle name="Normal 8 2 2 2 2 2 4 3 3" xfId="22947" xr:uid="{77622F5D-F0C1-4E99-860C-3D2A2960039D}"/>
    <cellStyle name="Normal 8 2 2 2 2 2 4 4" xfId="10301" xr:uid="{C346F13F-80C9-4393-A5D7-C60FC8205D52}"/>
    <cellStyle name="Normal 8 2 2 2 2 2 4 5" xfId="18730" xr:uid="{65258E9D-680A-4707-A9FC-E94D11BFABBB}"/>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7" xr:uid="{7C4947D0-78C3-491C-B273-96CD0028CD95}"/>
    <cellStyle name="Normal 8 2 2 2 2 2 5 2 2 3" xfId="25505" xr:uid="{2AC560D9-DE97-4679-9EAA-B9B7CF4BAC37}"/>
    <cellStyle name="Normal 8 2 2 2 2 2 5 2 3" xfId="12859" xr:uid="{2DD83174-A9A4-4FA8-BEF4-243F1CB87FA8}"/>
    <cellStyle name="Normal 8 2 2 2 2 2 5 2 4" xfId="21288" xr:uid="{1C8DBA1E-5CB0-46B7-82C4-FE00CE3D3414}"/>
    <cellStyle name="Normal 8 2 2 2 2 2 5 3" xfId="6503" xr:uid="{00000000-0005-0000-0000-0000061C0000}"/>
    <cellStyle name="Normal 8 2 2 2 2 2 5 3 2" xfId="14932" xr:uid="{B27A7F59-20BD-4EFA-9CF1-97BF9A4AFEC8}"/>
    <cellStyle name="Normal 8 2 2 2 2 2 5 3 3" xfId="23360" xr:uid="{1BE2EF03-D14B-4557-BD8F-E71F81B2F242}"/>
    <cellStyle name="Normal 8 2 2 2 2 2 5 4" xfId="10714" xr:uid="{77A0F8F4-FBFB-4634-8CAB-108A9E48ED73}"/>
    <cellStyle name="Normal 8 2 2 2 2 2 5 5" xfId="19143" xr:uid="{1F18B6F9-9DCC-4EF2-9481-7AC712D43099}"/>
    <cellStyle name="Normal 8 2 2 2 2 2 6" xfId="2631" xr:uid="{00000000-0005-0000-0000-0000071C0000}"/>
    <cellStyle name="Normal 8 2 2 2 2 2 6 2" xfId="6916" xr:uid="{00000000-0005-0000-0000-0000081C0000}"/>
    <cellStyle name="Normal 8 2 2 2 2 2 6 2 2" xfId="15345" xr:uid="{FE3B8E43-10BC-4A4F-96D9-F6E2767A4267}"/>
    <cellStyle name="Normal 8 2 2 2 2 2 6 2 3" xfId="23773" xr:uid="{2BAFCAE8-10D2-4E79-AB26-65E885C3E31C}"/>
    <cellStyle name="Normal 8 2 2 2 2 2 6 3" xfId="11127" xr:uid="{0E4B7779-CB9C-4967-BCC7-FE36FA51C378}"/>
    <cellStyle name="Normal 8 2 2 2 2 2 6 4" xfId="19556" xr:uid="{E4176C6C-248B-45A5-9175-E32322B31C58}"/>
    <cellStyle name="Normal 8 2 2 2 2 2 7" xfId="4851" xr:uid="{00000000-0005-0000-0000-0000091C0000}"/>
    <cellStyle name="Normal 8 2 2 2 2 2 7 2" xfId="13280" xr:uid="{C269FC41-90CF-42EC-BF59-E44FCA57BF9A}"/>
    <cellStyle name="Normal 8 2 2 2 2 2 7 3" xfId="21708" xr:uid="{AB88BAB1-C503-4069-A80D-C871DFAD1003}"/>
    <cellStyle name="Normal 8 2 2 2 2 2 8" xfId="9062" xr:uid="{A3C2F58B-1673-4D58-89E4-CBB6FC75A1CC}"/>
    <cellStyle name="Normal 8 2 2 2 2 2 9" xfId="17491" xr:uid="{B301237C-08ED-4771-AA9B-C45FCCA1486E}"/>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7" xr:uid="{7B727136-21B1-4E7F-8E6F-204A17EF8AAB}"/>
    <cellStyle name="Normal 8 2 2 2 2 3 2 2 3" xfId="24265" xr:uid="{5183C882-75B8-477E-B9B9-DDF80178A800}"/>
    <cellStyle name="Normal 8 2 2 2 2 3 2 3" xfId="11619" xr:uid="{08FF069A-73D7-415B-B3AE-B807D5053751}"/>
    <cellStyle name="Normal 8 2 2 2 2 3 2 4" xfId="20048" xr:uid="{C52D1AE9-1609-4A25-A823-6E7F69BF4E80}"/>
    <cellStyle name="Normal 8 2 2 2 2 3 3" xfId="5263" xr:uid="{00000000-0005-0000-0000-00000D1C0000}"/>
    <cellStyle name="Normal 8 2 2 2 2 3 3 2" xfId="13692" xr:uid="{50B263E9-8B3B-47C9-9A35-BD6424433D3A}"/>
    <cellStyle name="Normal 8 2 2 2 2 3 3 3" xfId="22120" xr:uid="{E0F47D09-5068-43F4-94EA-1D34735C0CAF}"/>
    <cellStyle name="Normal 8 2 2 2 2 3 4" xfId="9474" xr:uid="{BC6D85EB-EA09-416A-BCD5-2F41FDC3124E}"/>
    <cellStyle name="Normal 8 2 2 2 2 3 5" xfId="17903" xr:uid="{BA545D2F-F9F6-4EE6-93C9-16FFFDCF08EE}"/>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50" xr:uid="{01A4AECF-BA02-4D2B-8B42-50F5F7CC5F74}"/>
    <cellStyle name="Normal 8 2 2 2 2 4 2 2 3" xfId="24678" xr:uid="{7A14ED76-27BD-456E-9484-6490565E5057}"/>
    <cellStyle name="Normal 8 2 2 2 2 4 2 3" xfId="12032" xr:uid="{04F74B21-4683-47CA-BB02-2126AA3AA5F0}"/>
    <cellStyle name="Normal 8 2 2 2 2 4 2 4" xfId="20461" xr:uid="{9BBBC622-FFAB-46EC-ABF1-8406FE597821}"/>
    <cellStyle name="Normal 8 2 2 2 2 4 3" xfId="5676" xr:uid="{00000000-0005-0000-0000-0000111C0000}"/>
    <cellStyle name="Normal 8 2 2 2 2 4 3 2" xfId="14105" xr:uid="{96A78700-12D4-4E25-A25F-74FA4D888164}"/>
    <cellStyle name="Normal 8 2 2 2 2 4 3 3" xfId="22533" xr:uid="{B48D63AC-4CB3-434D-BFA3-8553EBA4F90D}"/>
    <cellStyle name="Normal 8 2 2 2 2 4 4" xfId="9887" xr:uid="{E7980BF5-3A7E-48AB-AA45-ACC392AF3ADA}"/>
    <cellStyle name="Normal 8 2 2 2 2 4 5" xfId="18316" xr:uid="{E3786241-C16B-4728-B4AA-9F68B12CD4D1}"/>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63" xr:uid="{C76737AB-4B5D-4541-9D1E-2BFF58E6BE53}"/>
    <cellStyle name="Normal 8 2 2 2 2 5 2 2 3" xfId="25091" xr:uid="{1B3C5454-04C6-4807-B45C-F70DE5B1418F}"/>
    <cellStyle name="Normal 8 2 2 2 2 5 2 3" xfId="12445" xr:uid="{CB784B78-B3F0-4F9D-ADC2-64E655B387E0}"/>
    <cellStyle name="Normal 8 2 2 2 2 5 2 4" xfId="20874" xr:uid="{CDD231FA-C9A2-4F96-9E01-C3ECCAE0E93C}"/>
    <cellStyle name="Normal 8 2 2 2 2 5 3" xfId="6089" xr:uid="{00000000-0005-0000-0000-0000151C0000}"/>
    <cellStyle name="Normal 8 2 2 2 2 5 3 2" xfId="14518" xr:uid="{98958FA7-A62F-4BBB-ABF6-31BCAC0CD9D0}"/>
    <cellStyle name="Normal 8 2 2 2 2 5 3 3" xfId="22946" xr:uid="{2A35237B-60DD-4073-B8A4-51A0F25F58A6}"/>
    <cellStyle name="Normal 8 2 2 2 2 5 4" xfId="10300" xr:uid="{55026A3F-E435-4F1E-BC57-590B25C9FAB2}"/>
    <cellStyle name="Normal 8 2 2 2 2 5 5" xfId="18729" xr:uid="{1A0EAC22-F895-4B6F-917F-2120EB688304}"/>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76" xr:uid="{497FE898-FA31-4526-9D3F-4C42A1EA4D55}"/>
    <cellStyle name="Normal 8 2 2 2 2 6 2 2 3" xfId="25504" xr:uid="{C85BB331-8164-454A-A5D0-DB72FC272B1A}"/>
    <cellStyle name="Normal 8 2 2 2 2 6 2 3" xfId="12858" xr:uid="{B16C2B90-6664-4BB4-B768-B9CE2E0F645C}"/>
    <cellStyle name="Normal 8 2 2 2 2 6 2 4" xfId="21287" xr:uid="{D0D84E32-3DC3-419E-B553-AC1D3490A9DA}"/>
    <cellStyle name="Normal 8 2 2 2 2 6 3" xfId="6502" xr:uid="{00000000-0005-0000-0000-0000191C0000}"/>
    <cellStyle name="Normal 8 2 2 2 2 6 3 2" xfId="14931" xr:uid="{10C9C113-1E4A-4C75-A06C-19EC19FFB1CD}"/>
    <cellStyle name="Normal 8 2 2 2 2 6 3 3" xfId="23359" xr:uid="{821513FE-4C32-43C1-9C6B-A52CE38F7A3F}"/>
    <cellStyle name="Normal 8 2 2 2 2 6 4" xfId="10713" xr:uid="{379564F8-5425-45D6-A206-8BB12DF2D138}"/>
    <cellStyle name="Normal 8 2 2 2 2 6 5" xfId="19142" xr:uid="{00C71F60-B30C-4C0D-AEF6-88B0B01E6ED7}"/>
    <cellStyle name="Normal 8 2 2 2 2 7" xfId="2630" xr:uid="{00000000-0005-0000-0000-00001A1C0000}"/>
    <cellStyle name="Normal 8 2 2 2 2 7 2" xfId="6915" xr:uid="{00000000-0005-0000-0000-00001B1C0000}"/>
    <cellStyle name="Normal 8 2 2 2 2 7 2 2" xfId="15344" xr:uid="{BA46A1A6-FC09-4222-BBFE-8ADCE84DBBB4}"/>
    <cellStyle name="Normal 8 2 2 2 2 7 2 3" xfId="23772" xr:uid="{6F3CE170-90E2-465E-AA88-C4031E22DEB2}"/>
    <cellStyle name="Normal 8 2 2 2 2 7 3" xfId="11126" xr:uid="{B4104FC4-AAD7-42FC-B7FA-A543BE1D5B00}"/>
    <cellStyle name="Normal 8 2 2 2 2 7 4" xfId="19555" xr:uid="{1A31A423-E667-4487-8CDB-5A2748BB6B84}"/>
    <cellStyle name="Normal 8 2 2 2 2 8" xfId="4850" xr:uid="{00000000-0005-0000-0000-00001C1C0000}"/>
    <cellStyle name="Normal 8 2 2 2 2 8 2" xfId="13279" xr:uid="{AB3370D4-6680-400B-BD9A-0E8EAC56A276}"/>
    <cellStyle name="Normal 8 2 2 2 2 8 3" xfId="21707" xr:uid="{1259E04A-5D1B-4157-8691-A7BD716F7107}"/>
    <cellStyle name="Normal 8 2 2 2 2 9" xfId="9061" xr:uid="{81C4DE91-DCFE-49B8-9A54-0C214D84912F}"/>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9" xr:uid="{48A81700-F1DA-4369-898A-59D47E60B8D0}"/>
    <cellStyle name="Normal 8 2 2 2 3 2 2 2 3" xfId="24267" xr:uid="{A93951E9-3D26-400B-A3F1-D0B685047EDE}"/>
    <cellStyle name="Normal 8 2 2 2 3 2 2 3" xfId="11621" xr:uid="{1536BB14-4E70-464F-87C4-0909BED4F3F5}"/>
    <cellStyle name="Normal 8 2 2 2 3 2 2 4" xfId="20050" xr:uid="{7EFC3CDB-8FEB-4900-BB39-CC331913448D}"/>
    <cellStyle name="Normal 8 2 2 2 3 2 3" xfId="5265" xr:uid="{00000000-0005-0000-0000-0000211C0000}"/>
    <cellStyle name="Normal 8 2 2 2 3 2 3 2" xfId="13694" xr:uid="{D823AFF6-7A34-456E-820A-B94820BA922B}"/>
    <cellStyle name="Normal 8 2 2 2 3 2 3 3" xfId="22122" xr:uid="{D0D4B642-6EC9-41A2-8B38-A612954B6C1B}"/>
    <cellStyle name="Normal 8 2 2 2 3 2 4" xfId="9476" xr:uid="{B94E7914-8776-4B49-B2C3-BFAB651ACD17}"/>
    <cellStyle name="Normal 8 2 2 2 3 2 5" xfId="17905" xr:uid="{A28AF382-33FB-4939-9EFA-FE079C439F4C}"/>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52" xr:uid="{7890F1F3-DE16-4A87-A2CB-80E5ABFE7F21}"/>
    <cellStyle name="Normal 8 2 2 2 3 3 2 2 3" xfId="24680" xr:uid="{1E2BE2DD-7A5F-40DE-BB54-80B716A8B261}"/>
    <cellStyle name="Normal 8 2 2 2 3 3 2 3" xfId="12034" xr:uid="{7FE4C2C0-4C29-4703-83D5-94712FF76340}"/>
    <cellStyle name="Normal 8 2 2 2 3 3 2 4" xfId="20463" xr:uid="{1545FC6C-C7D5-4C72-997C-44CC31AAAD81}"/>
    <cellStyle name="Normal 8 2 2 2 3 3 3" xfId="5678" xr:uid="{00000000-0005-0000-0000-0000251C0000}"/>
    <cellStyle name="Normal 8 2 2 2 3 3 3 2" xfId="14107" xr:uid="{89843471-2F53-4BBB-BC2A-3EE6B7720A1A}"/>
    <cellStyle name="Normal 8 2 2 2 3 3 3 3" xfId="22535" xr:uid="{FBD3C4F7-77E6-47ED-BA06-9398879292A2}"/>
    <cellStyle name="Normal 8 2 2 2 3 3 4" xfId="9889" xr:uid="{7C1636C1-0A26-4D91-B3DF-708CC4CD8C0B}"/>
    <cellStyle name="Normal 8 2 2 2 3 3 5" xfId="18318" xr:uid="{4CFA86B8-7600-4670-B774-F197BB03ECCB}"/>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65" xr:uid="{177B27E0-ABF7-41F3-8590-0C9BAA38C1AF}"/>
    <cellStyle name="Normal 8 2 2 2 3 4 2 2 3" xfId="25093" xr:uid="{C8B556AD-32B0-4632-9DD8-DA9AC48043D5}"/>
    <cellStyle name="Normal 8 2 2 2 3 4 2 3" xfId="12447" xr:uid="{AD3CFC4C-FC41-48A4-800A-C357A206012C}"/>
    <cellStyle name="Normal 8 2 2 2 3 4 2 4" xfId="20876" xr:uid="{FD365445-0B2D-431A-A9DA-B25E6DD75E5C}"/>
    <cellStyle name="Normal 8 2 2 2 3 4 3" xfId="6091" xr:uid="{00000000-0005-0000-0000-0000291C0000}"/>
    <cellStyle name="Normal 8 2 2 2 3 4 3 2" xfId="14520" xr:uid="{13FCE079-D2C4-4BCE-A219-8C68345B93B9}"/>
    <cellStyle name="Normal 8 2 2 2 3 4 3 3" xfId="22948" xr:uid="{161FB3F8-3672-49F6-AE83-F379702D6EB4}"/>
    <cellStyle name="Normal 8 2 2 2 3 4 4" xfId="10302" xr:uid="{8CD2BB3F-5E90-4DF1-817B-34E1D23B7D4A}"/>
    <cellStyle name="Normal 8 2 2 2 3 4 5" xfId="18731" xr:uid="{D9AD9E09-5B75-4233-B5E8-E969E27E77FB}"/>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8" xr:uid="{0111A751-42AE-49F4-A55B-C6522F295B5A}"/>
    <cellStyle name="Normal 8 2 2 2 3 5 2 2 3" xfId="25506" xr:uid="{EFBD5B07-4443-4288-9AB7-3B8B02130355}"/>
    <cellStyle name="Normal 8 2 2 2 3 5 2 3" xfId="12860" xr:uid="{8E09E997-D933-4DFA-947E-033B48F4BF8C}"/>
    <cellStyle name="Normal 8 2 2 2 3 5 2 4" xfId="21289" xr:uid="{B6010842-F29E-4530-8F95-0D791E726A10}"/>
    <cellStyle name="Normal 8 2 2 2 3 5 3" xfId="6504" xr:uid="{00000000-0005-0000-0000-00002D1C0000}"/>
    <cellStyle name="Normal 8 2 2 2 3 5 3 2" xfId="14933" xr:uid="{9B3B6621-5EC7-4650-BC3E-017BB2B35C37}"/>
    <cellStyle name="Normal 8 2 2 2 3 5 3 3" xfId="23361" xr:uid="{537FAB68-900E-4CD6-BF62-CE7C9130C0D7}"/>
    <cellStyle name="Normal 8 2 2 2 3 5 4" xfId="10715" xr:uid="{D1F36AC2-C45F-4463-BCD6-A4AB2C2EC3D8}"/>
    <cellStyle name="Normal 8 2 2 2 3 5 5" xfId="19144" xr:uid="{10035F87-4172-4731-8FA6-5D9F191263E9}"/>
    <cellStyle name="Normal 8 2 2 2 3 6" xfId="2632" xr:uid="{00000000-0005-0000-0000-00002E1C0000}"/>
    <cellStyle name="Normal 8 2 2 2 3 6 2" xfId="6917" xr:uid="{00000000-0005-0000-0000-00002F1C0000}"/>
    <cellStyle name="Normal 8 2 2 2 3 6 2 2" xfId="15346" xr:uid="{4F0B704E-A46E-43CF-AA5D-2009CF85943C}"/>
    <cellStyle name="Normal 8 2 2 2 3 6 2 3" xfId="23774" xr:uid="{949AE167-68AE-40CC-9586-1CAD469FA01B}"/>
    <cellStyle name="Normal 8 2 2 2 3 6 3" xfId="11128" xr:uid="{632695EC-80FB-4CE1-8742-0C570809208E}"/>
    <cellStyle name="Normal 8 2 2 2 3 6 4" xfId="19557" xr:uid="{1A071F60-9579-4585-BE53-8E67E9463ADF}"/>
    <cellStyle name="Normal 8 2 2 2 3 7" xfId="4852" xr:uid="{00000000-0005-0000-0000-0000301C0000}"/>
    <cellStyle name="Normal 8 2 2 2 3 7 2" xfId="13281" xr:uid="{7F354776-A43F-4156-A192-56B147882664}"/>
    <cellStyle name="Normal 8 2 2 2 3 7 3" xfId="21709" xr:uid="{C945312E-35FA-4C1B-9FBB-5F68F176B168}"/>
    <cellStyle name="Normal 8 2 2 2 3 8" xfId="9063" xr:uid="{6E25B5FE-F596-42B9-80A4-7901FBE02A32}"/>
    <cellStyle name="Normal 8 2 2 2 3 9" xfId="17492" xr:uid="{D2594ACC-E30A-427C-A2AB-ADCCDD5A0C73}"/>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36" xr:uid="{0990C4D2-412C-421D-89D6-4BAE8CDA7F26}"/>
    <cellStyle name="Normal 8 2 2 2 4 2 2 3" xfId="24264" xr:uid="{D56ABB28-893C-492F-A1A6-7E2DF042681A}"/>
    <cellStyle name="Normal 8 2 2 2 4 2 3" xfId="11618" xr:uid="{F5509DDB-F3AA-43ED-BA84-888AB119B429}"/>
    <cellStyle name="Normal 8 2 2 2 4 2 4" xfId="20047" xr:uid="{C525C7E5-1D20-4E9F-AD94-5CB8C9ADC5BD}"/>
    <cellStyle name="Normal 8 2 2 2 4 3" xfId="5262" xr:uid="{00000000-0005-0000-0000-0000341C0000}"/>
    <cellStyle name="Normal 8 2 2 2 4 3 2" xfId="13691" xr:uid="{708B93DB-35E7-432B-B27D-79874D57ECCC}"/>
    <cellStyle name="Normal 8 2 2 2 4 3 3" xfId="22119" xr:uid="{C0F4588C-D1C6-40E4-9EF1-00BE251E9232}"/>
    <cellStyle name="Normal 8 2 2 2 4 4" xfId="9473" xr:uid="{9B3A5D2C-688C-4188-BEE6-DBEBE5F53C36}"/>
    <cellStyle name="Normal 8 2 2 2 4 5" xfId="17902" xr:uid="{157E1173-DE6C-4E0E-A4C7-1FBC7BB19C25}"/>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9" xr:uid="{4093655E-AF5E-4927-A6F8-D4DF8E7EA2FA}"/>
    <cellStyle name="Normal 8 2 2 2 5 2 2 3" xfId="24677" xr:uid="{6CFEF368-3BFE-4122-8F78-E90DC7F42A92}"/>
    <cellStyle name="Normal 8 2 2 2 5 2 3" xfId="12031" xr:uid="{0D6C8866-0EA1-463D-B36E-2B2C99BDDBCA}"/>
    <cellStyle name="Normal 8 2 2 2 5 2 4" xfId="20460" xr:uid="{C9FA1B0D-201C-4872-8CEF-5E91C64FD9C3}"/>
    <cellStyle name="Normal 8 2 2 2 5 3" xfId="5675" xr:uid="{00000000-0005-0000-0000-0000381C0000}"/>
    <cellStyle name="Normal 8 2 2 2 5 3 2" xfId="14104" xr:uid="{783C846C-E30D-4F5D-940B-200414B814CF}"/>
    <cellStyle name="Normal 8 2 2 2 5 3 3" xfId="22532" xr:uid="{9FE263DF-4D4D-4C97-B508-6390E246CE52}"/>
    <cellStyle name="Normal 8 2 2 2 5 4" xfId="9886" xr:uid="{E6A017A1-E8CF-48FD-BD0B-6A2C9BBCD92F}"/>
    <cellStyle name="Normal 8 2 2 2 5 5" xfId="18315" xr:uid="{CE4278FD-CE90-431C-8A52-A80CF5E8D0AC}"/>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62" xr:uid="{9224C49F-0A58-4055-BBD2-4ECEC9995800}"/>
    <cellStyle name="Normal 8 2 2 2 6 2 2 3" xfId="25090" xr:uid="{EEF18392-0514-4F56-A1F6-A617F7D8E19C}"/>
    <cellStyle name="Normal 8 2 2 2 6 2 3" xfId="12444" xr:uid="{82CA38C1-8A6C-4760-8D49-C13EB7F5DD4C}"/>
    <cellStyle name="Normal 8 2 2 2 6 2 4" xfId="20873" xr:uid="{E5DD43A8-B4CC-4F32-ADC7-29DBF81A737C}"/>
    <cellStyle name="Normal 8 2 2 2 6 3" xfId="6088" xr:uid="{00000000-0005-0000-0000-00003C1C0000}"/>
    <cellStyle name="Normal 8 2 2 2 6 3 2" xfId="14517" xr:uid="{1436D949-9869-4434-B8D9-51D1130BE41A}"/>
    <cellStyle name="Normal 8 2 2 2 6 3 3" xfId="22945" xr:uid="{024511C8-E675-482E-9650-895958440878}"/>
    <cellStyle name="Normal 8 2 2 2 6 4" xfId="10299" xr:uid="{361184FA-D8CE-4E64-B42D-E0CBD20E88C7}"/>
    <cellStyle name="Normal 8 2 2 2 6 5" xfId="18728" xr:uid="{9D61BF29-0011-4B4B-B817-F5D3D52B9997}"/>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75" xr:uid="{2A816EBD-E2A5-4DA5-A94A-46C1F3EE4A78}"/>
    <cellStyle name="Normal 8 2 2 2 7 2 2 3" xfId="25503" xr:uid="{ACE52BB5-23FC-4066-B8FB-7D17E05C2F6B}"/>
    <cellStyle name="Normal 8 2 2 2 7 2 3" xfId="12857" xr:uid="{40942A0C-6D01-43A1-9DC9-5FFA18240830}"/>
    <cellStyle name="Normal 8 2 2 2 7 2 4" xfId="21286" xr:uid="{18C78009-6DA7-49EA-B06D-5C5F7DFE5131}"/>
    <cellStyle name="Normal 8 2 2 2 7 3" xfId="6501" xr:uid="{00000000-0005-0000-0000-0000401C0000}"/>
    <cellStyle name="Normal 8 2 2 2 7 3 2" xfId="14930" xr:uid="{EEBE8B5F-E794-402C-9B92-830152DBF3A5}"/>
    <cellStyle name="Normal 8 2 2 2 7 3 3" xfId="23358" xr:uid="{11968E62-9EF2-4CDB-BE5A-111588725FCB}"/>
    <cellStyle name="Normal 8 2 2 2 7 4" xfId="10712" xr:uid="{EB940B1C-1042-46B3-8E62-97D1A463592D}"/>
    <cellStyle name="Normal 8 2 2 2 7 5" xfId="19141" xr:uid="{0A0D78E7-92B1-4335-9CEC-240481E276C0}"/>
    <cellStyle name="Normal 8 2 2 2 8" xfId="2629" xr:uid="{00000000-0005-0000-0000-0000411C0000}"/>
    <cellStyle name="Normal 8 2 2 2 8 2" xfId="6914" xr:uid="{00000000-0005-0000-0000-0000421C0000}"/>
    <cellStyle name="Normal 8 2 2 2 8 2 2" xfId="15343" xr:uid="{5F6FB3D4-D593-4E1A-849D-57DA9465FE17}"/>
    <cellStyle name="Normal 8 2 2 2 8 2 3" xfId="23771" xr:uid="{13B16298-7822-4DF3-8698-C17EE0FEBCEC}"/>
    <cellStyle name="Normal 8 2 2 2 8 3" xfId="11125" xr:uid="{FD52E090-44D2-4180-8FBD-3E9EF2CDB3E1}"/>
    <cellStyle name="Normal 8 2 2 2 8 4" xfId="19554" xr:uid="{11DAF901-C526-4457-A1B3-00651B6AB8ED}"/>
    <cellStyle name="Normal 8 2 2 2 9" xfId="4849" xr:uid="{00000000-0005-0000-0000-0000431C0000}"/>
    <cellStyle name="Normal 8 2 2 2 9 2" xfId="13278" xr:uid="{1674951D-7D93-4B48-B901-D13A24D9517B}"/>
    <cellStyle name="Normal 8 2 2 2 9 3" xfId="21706" xr:uid="{6D46B37B-750D-4E12-9146-6F03F73B0F9E}"/>
    <cellStyle name="Normal 8 2 2 3" xfId="485" xr:uid="{00000000-0005-0000-0000-0000441C0000}"/>
    <cellStyle name="Normal 8 2 2 3 10" xfId="17493" xr:uid="{BCB5B8BF-2860-481D-B6B6-FE3AB685405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41" xr:uid="{2DE7C454-E58A-4A74-8168-70AEFE5960D1}"/>
    <cellStyle name="Normal 8 2 2 3 2 2 2 2 3" xfId="24269" xr:uid="{C625DCBE-91AE-4E2A-9B18-2A4D0003054A}"/>
    <cellStyle name="Normal 8 2 2 3 2 2 2 3" xfId="11623" xr:uid="{E5F3B581-C059-4956-966E-701B0EEC7324}"/>
    <cellStyle name="Normal 8 2 2 3 2 2 2 4" xfId="20052" xr:uid="{BFC4BC9F-9111-424A-A39A-5F6163E79A49}"/>
    <cellStyle name="Normal 8 2 2 3 2 2 3" xfId="5267" xr:uid="{00000000-0005-0000-0000-0000491C0000}"/>
    <cellStyle name="Normal 8 2 2 3 2 2 3 2" xfId="13696" xr:uid="{E10A78F4-BAA1-461D-AC01-7466756D944B}"/>
    <cellStyle name="Normal 8 2 2 3 2 2 3 3" xfId="22124" xr:uid="{B1ED701F-F419-415A-9547-3A8ADEA10B60}"/>
    <cellStyle name="Normal 8 2 2 3 2 2 4" xfId="9478" xr:uid="{DA5DB075-E32A-425B-933C-66986F3B970C}"/>
    <cellStyle name="Normal 8 2 2 3 2 2 5" xfId="17907" xr:uid="{A0BCD2BE-003B-4B2C-89B9-EE7C97ACCDE7}"/>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54" xr:uid="{EE7E23F9-999F-4D4E-9A4C-ADA53F1350E8}"/>
    <cellStyle name="Normal 8 2 2 3 2 3 2 2 3" xfId="24682" xr:uid="{67B9E934-4970-4AB3-850B-5679541FD08A}"/>
    <cellStyle name="Normal 8 2 2 3 2 3 2 3" xfId="12036" xr:uid="{A27974CF-231A-4F2E-B14E-344F925AA4C2}"/>
    <cellStyle name="Normal 8 2 2 3 2 3 2 4" xfId="20465" xr:uid="{0E70CA93-10AE-43F7-B67A-AE32FDDCEA83}"/>
    <cellStyle name="Normal 8 2 2 3 2 3 3" xfId="5680" xr:uid="{00000000-0005-0000-0000-00004D1C0000}"/>
    <cellStyle name="Normal 8 2 2 3 2 3 3 2" xfId="14109" xr:uid="{72AE611A-DD2C-413B-A795-69231629AA2C}"/>
    <cellStyle name="Normal 8 2 2 3 2 3 3 3" xfId="22537" xr:uid="{C8C1C3A1-4981-48FD-832C-0F5CE21DC66E}"/>
    <cellStyle name="Normal 8 2 2 3 2 3 4" xfId="9891" xr:uid="{8E6FDCB2-8931-414C-8375-6452AA3FA3D1}"/>
    <cellStyle name="Normal 8 2 2 3 2 3 5" xfId="18320" xr:uid="{C3FE606C-3918-48F9-8E5A-A12F07CF3C46}"/>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7" xr:uid="{1B875FFA-CA55-44CD-B7C0-39C91A9F6A2C}"/>
    <cellStyle name="Normal 8 2 2 3 2 4 2 2 3" xfId="25095" xr:uid="{B51BFE8B-D10A-4BEE-8C63-0D2465397A76}"/>
    <cellStyle name="Normal 8 2 2 3 2 4 2 3" xfId="12449" xr:uid="{2B6600B0-19D9-4224-B07A-F427840371F1}"/>
    <cellStyle name="Normal 8 2 2 3 2 4 2 4" xfId="20878" xr:uid="{E97B5E34-AFDA-4D9E-8626-7481AA93AD54}"/>
    <cellStyle name="Normal 8 2 2 3 2 4 3" xfId="6093" xr:uid="{00000000-0005-0000-0000-0000511C0000}"/>
    <cellStyle name="Normal 8 2 2 3 2 4 3 2" xfId="14522" xr:uid="{5E242D50-DA6A-4AC8-A6A2-D02764D05741}"/>
    <cellStyle name="Normal 8 2 2 3 2 4 3 3" xfId="22950" xr:uid="{51C5E7E1-CE56-47C8-BFF4-46D5B7A36544}"/>
    <cellStyle name="Normal 8 2 2 3 2 4 4" xfId="10304" xr:uid="{E7E85B53-8A77-4DDC-B789-753B723A557A}"/>
    <cellStyle name="Normal 8 2 2 3 2 4 5" xfId="18733" xr:uid="{EDE410DE-0FB8-4388-A328-E06C0D63C863}"/>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80" xr:uid="{2EB99427-5401-4843-BF39-EF7D7E15A8F6}"/>
    <cellStyle name="Normal 8 2 2 3 2 5 2 2 3" xfId="25508" xr:uid="{0F71FB1D-3D18-456A-B65D-3F8CD1084390}"/>
    <cellStyle name="Normal 8 2 2 3 2 5 2 3" xfId="12862" xr:uid="{887F1275-3FA2-4497-A443-3242989ADC76}"/>
    <cellStyle name="Normal 8 2 2 3 2 5 2 4" xfId="21291" xr:uid="{74D5475F-7D77-4736-862B-79721D4CE83F}"/>
    <cellStyle name="Normal 8 2 2 3 2 5 3" xfId="6506" xr:uid="{00000000-0005-0000-0000-0000551C0000}"/>
    <cellStyle name="Normal 8 2 2 3 2 5 3 2" xfId="14935" xr:uid="{5F540FA9-3C58-40BF-AC19-B61303DE7E05}"/>
    <cellStyle name="Normal 8 2 2 3 2 5 3 3" xfId="23363" xr:uid="{5FA9598D-064F-4638-A9D5-04A563641AFB}"/>
    <cellStyle name="Normal 8 2 2 3 2 5 4" xfId="10717" xr:uid="{982B78EE-F59D-47CD-9824-E4FF26095FAD}"/>
    <cellStyle name="Normal 8 2 2 3 2 5 5" xfId="19146" xr:uid="{9BC6C57F-0700-4DDB-9E19-84C39F066B16}"/>
    <cellStyle name="Normal 8 2 2 3 2 6" xfId="2634" xr:uid="{00000000-0005-0000-0000-0000561C0000}"/>
    <cellStyle name="Normal 8 2 2 3 2 6 2" xfId="6919" xr:uid="{00000000-0005-0000-0000-0000571C0000}"/>
    <cellStyle name="Normal 8 2 2 3 2 6 2 2" xfId="15348" xr:uid="{D2B6B979-7874-4FD5-95E7-353228227832}"/>
    <cellStyle name="Normal 8 2 2 3 2 6 2 3" xfId="23776" xr:uid="{AC4D6935-F29E-4A11-A7AB-7AFEF57982D9}"/>
    <cellStyle name="Normal 8 2 2 3 2 6 3" xfId="11130" xr:uid="{474170A8-2842-414F-9A40-6D2C5BC57547}"/>
    <cellStyle name="Normal 8 2 2 3 2 6 4" xfId="19559" xr:uid="{2BA4ADAE-9AA5-4EFA-9D97-14BF3949E3F0}"/>
    <cellStyle name="Normal 8 2 2 3 2 7" xfId="4854" xr:uid="{00000000-0005-0000-0000-0000581C0000}"/>
    <cellStyle name="Normal 8 2 2 3 2 7 2" xfId="13283" xr:uid="{6EAD91F5-6304-4B72-96A1-78BBC9F48487}"/>
    <cellStyle name="Normal 8 2 2 3 2 7 3" xfId="21711" xr:uid="{BE9123BF-68A0-4D0D-951F-8008226ACD95}"/>
    <cellStyle name="Normal 8 2 2 3 2 8" xfId="9065" xr:uid="{5AA5C7E8-3DED-46BF-A25B-B7C92255809C}"/>
    <cellStyle name="Normal 8 2 2 3 2 9" xfId="17494" xr:uid="{AE69F728-239B-496E-8856-886E9F5EC34E}"/>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40" xr:uid="{0206431D-C200-4307-9807-66ED84D6D827}"/>
    <cellStyle name="Normal 8 2 2 3 3 2 2 3" xfId="24268" xr:uid="{F09CAB7D-617A-4C82-86E0-6A840C2FBFC8}"/>
    <cellStyle name="Normal 8 2 2 3 3 2 3" xfId="11622" xr:uid="{0347184F-3083-4F54-A0F5-98707BCFB3BB}"/>
    <cellStyle name="Normal 8 2 2 3 3 2 4" xfId="20051" xr:uid="{5D6A7583-5063-4AED-912D-E6517775DE7F}"/>
    <cellStyle name="Normal 8 2 2 3 3 3" xfId="5266" xr:uid="{00000000-0005-0000-0000-00005C1C0000}"/>
    <cellStyle name="Normal 8 2 2 3 3 3 2" xfId="13695" xr:uid="{9B8B61F9-33A1-48D5-8F79-60601D615C84}"/>
    <cellStyle name="Normal 8 2 2 3 3 3 3" xfId="22123" xr:uid="{6D2CD867-2582-480F-93FB-9FA7247FBA3A}"/>
    <cellStyle name="Normal 8 2 2 3 3 4" xfId="9477" xr:uid="{52916CF9-7E18-49A8-8679-2CE38EBAEA0F}"/>
    <cellStyle name="Normal 8 2 2 3 3 5" xfId="17906" xr:uid="{DC35804C-D114-4B6B-8CD4-174FCEAC6157}"/>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53" xr:uid="{02917A33-D819-41B3-88BB-A93D67CEA57D}"/>
    <cellStyle name="Normal 8 2 2 3 4 2 2 3" xfId="24681" xr:uid="{3284488C-C07E-4B81-9079-26D7D6368C3D}"/>
    <cellStyle name="Normal 8 2 2 3 4 2 3" xfId="12035" xr:uid="{5954461B-3E0F-40B9-85A0-1B7BAC4FA07B}"/>
    <cellStyle name="Normal 8 2 2 3 4 2 4" xfId="20464" xr:uid="{C4C205A2-4C6B-48EB-8FDE-05AB02A7D5DC}"/>
    <cellStyle name="Normal 8 2 2 3 4 3" xfId="5679" xr:uid="{00000000-0005-0000-0000-0000601C0000}"/>
    <cellStyle name="Normal 8 2 2 3 4 3 2" xfId="14108" xr:uid="{334A26E2-7F75-4CEC-B366-3495CD791EA4}"/>
    <cellStyle name="Normal 8 2 2 3 4 3 3" xfId="22536" xr:uid="{5CB262A6-BAA4-4432-A562-E31E6E572C3D}"/>
    <cellStyle name="Normal 8 2 2 3 4 4" xfId="9890" xr:uid="{1592EFEF-1AAC-489B-A0FF-A831B3F70312}"/>
    <cellStyle name="Normal 8 2 2 3 4 5" xfId="18319" xr:uid="{265458E3-84E9-425E-89B7-88B6B7A2FEDD}"/>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66" xr:uid="{AB14BBCF-005A-4559-B364-98634426030A}"/>
    <cellStyle name="Normal 8 2 2 3 5 2 2 3" xfId="25094" xr:uid="{ECCA8A5E-B1CB-455B-90F4-45AC90621CF1}"/>
    <cellStyle name="Normal 8 2 2 3 5 2 3" xfId="12448" xr:uid="{500D1400-235F-4B37-ABC8-9BC69CC6403A}"/>
    <cellStyle name="Normal 8 2 2 3 5 2 4" xfId="20877" xr:uid="{C41BCF4E-AAD6-4BE2-BD09-600A2ABC95A5}"/>
    <cellStyle name="Normal 8 2 2 3 5 3" xfId="6092" xr:uid="{00000000-0005-0000-0000-0000641C0000}"/>
    <cellStyle name="Normal 8 2 2 3 5 3 2" xfId="14521" xr:uid="{EBCA208D-B4D9-4C58-B5C8-F5665CB73A90}"/>
    <cellStyle name="Normal 8 2 2 3 5 3 3" xfId="22949" xr:uid="{C95C3E8D-5F15-4820-A1B9-92F1969B0A7E}"/>
    <cellStyle name="Normal 8 2 2 3 5 4" xfId="10303" xr:uid="{467FD4C6-CDF8-46B0-9DF9-E278A1B42C8E}"/>
    <cellStyle name="Normal 8 2 2 3 5 5" xfId="18732" xr:uid="{C942E1B8-CF77-488D-B1CA-87149AE8B693}"/>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9" xr:uid="{2F5BC235-BF9A-473B-BEC0-D0AE44B96883}"/>
    <cellStyle name="Normal 8 2 2 3 6 2 2 3" xfId="25507" xr:uid="{5135AAA3-0D2F-43DB-9BC8-B070CADD48D7}"/>
    <cellStyle name="Normal 8 2 2 3 6 2 3" xfId="12861" xr:uid="{8E2C1D3E-7007-4F83-8D6C-AA0AD9325AFD}"/>
    <cellStyle name="Normal 8 2 2 3 6 2 4" xfId="21290" xr:uid="{1EDCB926-03E1-4372-A41B-A0992989490C}"/>
    <cellStyle name="Normal 8 2 2 3 6 3" xfId="6505" xr:uid="{00000000-0005-0000-0000-0000681C0000}"/>
    <cellStyle name="Normal 8 2 2 3 6 3 2" xfId="14934" xr:uid="{3952E3F2-914D-46A8-A4BC-2CD2D1ADAA25}"/>
    <cellStyle name="Normal 8 2 2 3 6 3 3" xfId="23362" xr:uid="{D2A1A48D-99F7-42F4-905F-355244E26E87}"/>
    <cellStyle name="Normal 8 2 2 3 6 4" xfId="10716" xr:uid="{B3D37E3F-8C17-4A57-9151-2B3FD341A771}"/>
    <cellStyle name="Normal 8 2 2 3 6 5" xfId="19145" xr:uid="{1F382634-C989-4083-B420-D4B19823E408}"/>
    <cellStyle name="Normal 8 2 2 3 7" xfId="2633" xr:uid="{00000000-0005-0000-0000-0000691C0000}"/>
    <cellStyle name="Normal 8 2 2 3 7 2" xfId="6918" xr:uid="{00000000-0005-0000-0000-00006A1C0000}"/>
    <cellStyle name="Normal 8 2 2 3 7 2 2" xfId="15347" xr:uid="{1A6E16D7-88D8-48F5-ACE9-FACC87867004}"/>
    <cellStyle name="Normal 8 2 2 3 7 2 3" xfId="23775" xr:uid="{C51C8E85-FA63-4F33-AA09-31D79DBE22F5}"/>
    <cellStyle name="Normal 8 2 2 3 7 3" xfId="11129" xr:uid="{45AEB697-75B6-4F4D-B95F-335DFC237D6D}"/>
    <cellStyle name="Normal 8 2 2 3 7 4" xfId="19558" xr:uid="{F437D636-F535-427D-BA3C-8963CE78DBEF}"/>
    <cellStyle name="Normal 8 2 2 3 8" xfId="4853" xr:uid="{00000000-0005-0000-0000-00006B1C0000}"/>
    <cellStyle name="Normal 8 2 2 3 8 2" xfId="13282" xr:uid="{C1480217-2B0E-4CCA-B10C-F0953F31F530}"/>
    <cellStyle name="Normal 8 2 2 3 8 3" xfId="21710" xr:uid="{F91229A4-FD92-47FA-8BEB-1C51251B1227}"/>
    <cellStyle name="Normal 8 2 2 3 9" xfId="9064" xr:uid="{ED2A0F71-373B-43B4-945C-4B3204EB860E}"/>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42" xr:uid="{98E92B50-AC89-4AAA-B9F5-7BE43581093A}"/>
    <cellStyle name="Normal 8 2 2 4 2 2 2 3" xfId="24270" xr:uid="{37DAE868-B46E-4AB6-AF00-9CC76C5960FE}"/>
    <cellStyle name="Normal 8 2 2 4 2 2 3" xfId="11624" xr:uid="{26BA4F7E-5AF0-4EB1-B0B7-63F1C6BE096C}"/>
    <cellStyle name="Normal 8 2 2 4 2 2 4" xfId="20053" xr:uid="{20559B8C-6227-4CF3-9C30-486BE238391F}"/>
    <cellStyle name="Normal 8 2 2 4 2 3" xfId="5268" xr:uid="{00000000-0005-0000-0000-0000701C0000}"/>
    <cellStyle name="Normal 8 2 2 4 2 3 2" xfId="13697" xr:uid="{30A9AFF1-E848-4D0E-83AD-C4CB461A88B8}"/>
    <cellStyle name="Normal 8 2 2 4 2 3 3" xfId="22125" xr:uid="{068B632C-040B-431F-98C6-ECEE4CC18C93}"/>
    <cellStyle name="Normal 8 2 2 4 2 4" xfId="9479" xr:uid="{2FB6AF1E-60D1-4FCB-B532-8E36DB7EF084}"/>
    <cellStyle name="Normal 8 2 2 4 2 5" xfId="17908" xr:uid="{3F479F77-B6FC-465E-B6BF-0E2DB70E6789}"/>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55" xr:uid="{9FDFAFC7-5305-41E7-8E0E-228A3813F59C}"/>
    <cellStyle name="Normal 8 2 2 4 3 2 2 3" xfId="24683" xr:uid="{120D6B5E-DDCF-4B94-B917-4A73A5D68495}"/>
    <cellStyle name="Normal 8 2 2 4 3 2 3" xfId="12037" xr:uid="{F2D79763-D4B4-4016-B824-D2EB45C83AE2}"/>
    <cellStyle name="Normal 8 2 2 4 3 2 4" xfId="20466" xr:uid="{EA6761EA-D584-4500-840C-577380915264}"/>
    <cellStyle name="Normal 8 2 2 4 3 3" xfId="5681" xr:uid="{00000000-0005-0000-0000-0000741C0000}"/>
    <cellStyle name="Normal 8 2 2 4 3 3 2" xfId="14110" xr:uid="{8110F104-704B-4EB6-B419-4FF48BEA4F18}"/>
    <cellStyle name="Normal 8 2 2 4 3 3 3" xfId="22538" xr:uid="{06E56631-F9E3-4992-ADBA-B3C020AE5EB0}"/>
    <cellStyle name="Normal 8 2 2 4 3 4" xfId="9892" xr:uid="{C886686A-3E73-4B28-98F5-AC0FAF94ABE6}"/>
    <cellStyle name="Normal 8 2 2 4 3 5" xfId="18321" xr:uid="{D5A36657-EADD-4904-B99A-9124C4E6241D}"/>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8" xr:uid="{B23DA818-FA1E-4D96-B269-E81757168750}"/>
    <cellStyle name="Normal 8 2 2 4 4 2 2 3" xfId="25096" xr:uid="{39B62803-C165-4FE1-8CBA-368E885F5CC1}"/>
    <cellStyle name="Normal 8 2 2 4 4 2 3" xfId="12450" xr:uid="{82BB9214-9DB6-44D2-8D34-9BDFEDA63A8D}"/>
    <cellStyle name="Normal 8 2 2 4 4 2 4" xfId="20879" xr:uid="{FECC873C-C2B6-494C-89D3-FEF8D64923E3}"/>
    <cellStyle name="Normal 8 2 2 4 4 3" xfId="6094" xr:uid="{00000000-0005-0000-0000-0000781C0000}"/>
    <cellStyle name="Normal 8 2 2 4 4 3 2" xfId="14523" xr:uid="{2E825B6F-6407-4E72-907C-3773B55ABEA9}"/>
    <cellStyle name="Normal 8 2 2 4 4 3 3" xfId="22951" xr:uid="{D739CAAD-F80C-42DE-B4CD-34E694FBB35A}"/>
    <cellStyle name="Normal 8 2 2 4 4 4" xfId="10305" xr:uid="{FA3952C2-D4A5-42FF-9B2C-B9845BB121ED}"/>
    <cellStyle name="Normal 8 2 2 4 4 5" xfId="18734" xr:uid="{8A88DFF0-9DB1-4547-8C03-681E6F468151}"/>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81" xr:uid="{8E0DA42D-AB90-4F6C-907E-E661403EAB18}"/>
    <cellStyle name="Normal 8 2 2 4 5 2 2 3" xfId="25509" xr:uid="{89885023-98A5-4BFA-8036-EE04D12B44DC}"/>
    <cellStyle name="Normal 8 2 2 4 5 2 3" xfId="12863" xr:uid="{97FF86ED-D1C7-4370-AA81-AC49E99FBDAB}"/>
    <cellStyle name="Normal 8 2 2 4 5 2 4" xfId="21292" xr:uid="{61393263-52A5-463F-B864-9C8FA5631A85}"/>
    <cellStyle name="Normal 8 2 2 4 5 3" xfId="6507" xr:uid="{00000000-0005-0000-0000-00007C1C0000}"/>
    <cellStyle name="Normal 8 2 2 4 5 3 2" xfId="14936" xr:uid="{1F91ECEC-0E78-4CF4-95C3-D63E90F7D4D4}"/>
    <cellStyle name="Normal 8 2 2 4 5 3 3" xfId="23364" xr:uid="{6D397884-7F28-413D-A8C6-46594C54ABE9}"/>
    <cellStyle name="Normal 8 2 2 4 5 4" xfId="10718" xr:uid="{1C3AEDDD-1350-4809-9D66-0CEB23BA5AE8}"/>
    <cellStyle name="Normal 8 2 2 4 5 5" xfId="19147" xr:uid="{BE5DE840-14C1-4819-A21B-CFC61BB77801}"/>
    <cellStyle name="Normal 8 2 2 4 6" xfId="2635" xr:uid="{00000000-0005-0000-0000-00007D1C0000}"/>
    <cellStyle name="Normal 8 2 2 4 6 2" xfId="6920" xr:uid="{00000000-0005-0000-0000-00007E1C0000}"/>
    <cellStyle name="Normal 8 2 2 4 6 2 2" xfId="15349" xr:uid="{EC500A73-808C-43DC-A297-3CEFE5230E7B}"/>
    <cellStyle name="Normal 8 2 2 4 6 2 3" xfId="23777" xr:uid="{1FAF04ED-5E02-42E6-A15B-E4F8BE1D8E61}"/>
    <cellStyle name="Normal 8 2 2 4 6 3" xfId="11131" xr:uid="{FDC813F1-B6E4-4A2F-BE61-2CBB73C877B6}"/>
    <cellStyle name="Normal 8 2 2 4 6 4" xfId="19560" xr:uid="{AD63F385-CB46-4174-AD07-BC0E84BB4E6E}"/>
    <cellStyle name="Normal 8 2 2 4 7" xfId="4855" xr:uid="{00000000-0005-0000-0000-00007F1C0000}"/>
    <cellStyle name="Normal 8 2 2 4 7 2" xfId="13284" xr:uid="{36C928BC-4EDE-4762-82E3-A6E233B8AD16}"/>
    <cellStyle name="Normal 8 2 2 4 7 3" xfId="21712" xr:uid="{2732573B-4444-47C2-A58D-DA410FD878DD}"/>
    <cellStyle name="Normal 8 2 2 4 8" xfId="9066" xr:uid="{255C63EF-8853-413A-9301-A59BC4D66AC9}"/>
    <cellStyle name="Normal 8 2 2 4 9" xfId="17495" xr:uid="{604E4445-72D6-49BF-8E0A-2BFA721CC335}"/>
    <cellStyle name="Normal 8 2 2 5" xfId="948" xr:uid="{00000000-0005-0000-0000-0000801C0000}"/>
    <cellStyle name="Normal 8 2 2 5 2" xfId="3182" xr:uid="{00000000-0005-0000-0000-0000811C0000}"/>
    <cellStyle name="Normal 8 2 2 5 2 2" xfId="7406" xr:uid="{00000000-0005-0000-0000-0000821C0000}"/>
    <cellStyle name="Normal 8 2 2 5 2 2 2" xfId="15835" xr:uid="{8103E0B7-D314-4E81-B01B-8BBB034A6A44}"/>
    <cellStyle name="Normal 8 2 2 5 2 2 3" xfId="24263" xr:uid="{F579C6CF-B5D6-4FC4-8ED1-C81EDCC36143}"/>
    <cellStyle name="Normal 8 2 2 5 2 3" xfId="11617" xr:uid="{C074EA65-9539-434A-B263-E68D83C7DF8A}"/>
    <cellStyle name="Normal 8 2 2 5 2 4" xfId="20046" xr:uid="{281A991D-EA5A-41AE-ACBD-BE10446642EF}"/>
    <cellStyle name="Normal 8 2 2 5 3" xfId="5261" xr:uid="{00000000-0005-0000-0000-0000831C0000}"/>
    <cellStyle name="Normal 8 2 2 5 3 2" xfId="13690" xr:uid="{1424FD57-1941-476D-8641-ADA397B6B950}"/>
    <cellStyle name="Normal 8 2 2 5 3 3" xfId="22118" xr:uid="{88EBBE10-5A7F-4A22-A0E3-9645C3D1262D}"/>
    <cellStyle name="Normal 8 2 2 5 4" xfId="9472" xr:uid="{DBCBBC49-FC29-4080-93F8-958E070369AD}"/>
    <cellStyle name="Normal 8 2 2 5 5" xfId="17901" xr:uid="{83F31A58-9BBB-4699-9A8D-CCEB8286F328}"/>
    <cellStyle name="Normal 8 2 2 6" xfId="1365" xr:uid="{00000000-0005-0000-0000-0000841C0000}"/>
    <cellStyle name="Normal 8 2 2 6 2" xfId="3595" xr:uid="{00000000-0005-0000-0000-0000851C0000}"/>
    <cellStyle name="Normal 8 2 2 6 2 2" xfId="7819" xr:uid="{00000000-0005-0000-0000-0000861C0000}"/>
    <cellStyle name="Normal 8 2 2 6 2 2 2" xfId="16248" xr:uid="{90FCA164-0546-4F7A-8540-836B88992FA0}"/>
    <cellStyle name="Normal 8 2 2 6 2 2 3" xfId="24676" xr:uid="{7798817A-D701-4CBE-891B-660021505D89}"/>
    <cellStyle name="Normal 8 2 2 6 2 3" xfId="12030" xr:uid="{8C5ADBC3-B06C-403B-81AD-DE03707B7510}"/>
    <cellStyle name="Normal 8 2 2 6 2 4" xfId="20459" xr:uid="{674171A5-DA8E-4D66-8ADB-3DA2FA276DDE}"/>
    <cellStyle name="Normal 8 2 2 6 3" xfId="5674" xr:uid="{00000000-0005-0000-0000-0000871C0000}"/>
    <cellStyle name="Normal 8 2 2 6 3 2" xfId="14103" xr:uid="{2B2B6803-22DD-4370-ACAC-5A00C06178BE}"/>
    <cellStyle name="Normal 8 2 2 6 3 3" xfId="22531" xr:uid="{A92F9F77-CAC1-4219-8149-1EEC6ACFD3CA}"/>
    <cellStyle name="Normal 8 2 2 6 4" xfId="9885" xr:uid="{C88D66D6-10B3-4DB1-863E-5D36492AD596}"/>
    <cellStyle name="Normal 8 2 2 6 5" xfId="18314" xr:uid="{47F3DA7A-A483-4A1A-A5C6-CDFE4E1F0854}"/>
    <cellStyle name="Normal 8 2 2 7" xfId="1778" xr:uid="{00000000-0005-0000-0000-0000881C0000}"/>
    <cellStyle name="Normal 8 2 2 7 2" xfId="4008" xr:uid="{00000000-0005-0000-0000-0000891C0000}"/>
    <cellStyle name="Normal 8 2 2 7 2 2" xfId="8232" xr:uid="{00000000-0005-0000-0000-00008A1C0000}"/>
    <cellStyle name="Normal 8 2 2 7 2 2 2" xfId="16661" xr:uid="{9CF8500B-86B7-41B3-B659-557903B64118}"/>
    <cellStyle name="Normal 8 2 2 7 2 2 3" xfId="25089" xr:uid="{DE8412BA-1585-422B-945D-B5215719023B}"/>
    <cellStyle name="Normal 8 2 2 7 2 3" xfId="12443" xr:uid="{00FC8E0F-CEBF-49B1-95C3-C0E773E42D21}"/>
    <cellStyle name="Normal 8 2 2 7 2 4" xfId="20872" xr:uid="{B2650115-8A57-4388-8158-019DE462253E}"/>
    <cellStyle name="Normal 8 2 2 7 3" xfId="6087" xr:uid="{00000000-0005-0000-0000-00008B1C0000}"/>
    <cellStyle name="Normal 8 2 2 7 3 2" xfId="14516" xr:uid="{56C4C24B-06DB-41C7-9E9F-553D81B31B72}"/>
    <cellStyle name="Normal 8 2 2 7 3 3" xfId="22944" xr:uid="{1A138352-CB08-4E8F-9099-D4A1721E4F8B}"/>
    <cellStyle name="Normal 8 2 2 7 4" xfId="10298" xr:uid="{9F24653D-CFF8-4753-9300-3F4957444B8B}"/>
    <cellStyle name="Normal 8 2 2 7 5" xfId="18727" xr:uid="{4D9E881A-6415-42A5-9921-D31A1DF53F65}"/>
    <cellStyle name="Normal 8 2 2 8" xfId="2192" xr:uid="{00000000-0005-0000-0000-00008C1C0000}"/>
    <cellStyle name="Normal 8 2 2 8 2" xfId="4421" xr:uid="{00000000-0005-0000-0000-00008D1C0000}"/>
    <cellStyle name="Normal 8 2 2 8 2 2" xfId="8645" xr:uid="{00000000-0005-0000-0000-00008E1C0000}"/>
    <cellStyle name="Normal 8 2 2 8 2 2 2" xfId="17074" xr:uid="{B8CF512E-F3BD-4C32-8E68-B1E6BA095207}"/>
    <cellStyle name="Normal 8 2 2 8 2 2 3" xfId="25502" xr:uid="{06360DF2-4ADA-4FB3-8D8E-CA07D2929A29}"/>
    <cellStyle name="Normal 8 2 2 8 2 3" xfId="12856" xr:uid="{05849E48-666E-4D0C-876B-070AB8C97C00}"/>
    <cellStyle name="Normal 8 2 2 8 2 4" xfId="21285" xr:uid="{F1EEE4A5-420B-40DE-8CB1-8EECCFAE071E}"/>
    <cellStyle name="Normal 8 2 2 8 3" xfId="6500" xr:uid="{00000000-0005-0000-0000-00008F1C0000}"/>
    <cellStyle name="Normal 8 2 2 8 3 2" xfId="14929" xr:uid="{497A8993-1D60-4751-B07A-0D31F66D8076}"/>
    <cellStyle name="Normal 8 2 2 8 3 3" xfId="23357" xr:uid="{F8C84EFC-447D-4909-8F75-D74E50CBD4AC}"/>
    <cellStyle name="Normal 8 2 2 8 4" xfId="10711" xr:uid="{14B65788-9C52-4F76-B61B-D7F7A241BA2D}"/>
    <cellStyle name="Normal 8 2 2 8 5" xfId="19140" xr:uid="{D9DFB537-10A3-479B-8C05-ADBDF6CC6A92}"/>
    <cellStyle name="Normal 8 2 2 9" xfId="2628" xr:uid="{00000000-0005-0000-0000-0000901C0000}"/>
    <cellStyle name="Normal 8 2 2 9 2" xfId="6913" xr:uid="{00000000-0005-0000-0000-0000911C0000}"/>
    <cellStyle name="Normal 8 2 2 9 2 2" xfId="15342" xr:uid="{B3EF800F-EE03-41F0-982F-F2261A1EEA82}"/>
    <cellStyle name="Normal 8 2 2 9 2 3" xfId="23770" xr:uid="{42DB2B5E-7342-4D65-96DD-5DFB342D1F12}"/>
    <cellStyle name="Normal 8 2 2 9 3" xfId="11124" xr:uid="{06B32ED0-DB28-4FC3-9280-B0C9773F6F3E}"/>
    <cellStyle name="Normal 8 2 2 9 4" xfId="19553" xr:uid="{FA733319-7829-49C1-82C7-F01F71940BBE}"/>
    <cellStyle name="Normal 8 2 3" xfId="488" xr:uid="{00000000-0005-0000-0000-0000921C0000}"/>
    <cellStyle name="Normal 8 2 3 10" xfId="9067" xr:uid="{24E66949-02FD-46E3-A5C1-59F31A5327DC}"/>
    <cellStyle name="Normal 8 2 3 11" xfId="17496" xr:uid="{9A02E240-05AC-4F54-AA8F-D0C528ACF83D}"/>
    <cellStyle name="Normal 8 2 3 2" xfId="489" xr:uid="{00000000-0005-0000-0000-0000931C0000}"/>
    <cellStyle name="Normal 8 2 3 2 10" xfId="17497" xr:uid="{CD719B3B-F17F-4D3C-A5B7-FECBBFA93EC2}"/>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45" xr:uid="{5933F6DE-AAC4-4ACE-8484-58675CD6C746}"/>
    <cellStyle name="Normal 8 2 3 2 2 2 2 2 3" xfId="24273" xr:uid="{10E098E2-FEF8-4D21-8277-6A44ECF13471}"/>
    <cellStyle name="Normal 8 2 3 2 2 2 2 3" xfId="11627" xr:uid="{D5608203-9CE8-4A70-92D6-1FEBAEABB457}"/>
    <cellStyle name="Normal 8 2 3 2 2 2 2 4" xfId="20056" xr:uid="{CD73CECC-D2D1-4E4C-A022-FB87893A9889}"/>
    <cellStyle name="Normal 8 2 3 2 2 2 3" xfId="5271" xr:uid="{00000000-0005-0000-0000-0000981C0000}"/>
    <cellStyle name="Normal 8 2 3 2 2 2 3 2" xfId="13700" xr:uid="{44201591-2AD6-43D7-9595-6B251C7B0F58}"/>
    <cellStyle name="Normal 8 2 3 2 2 2 3 3" xfId="22128" xr:uid="{CFC9C337-CF47-4138-A3FA-FB802510EC4D}"/>
    <cellStyle name="Normal 8 2 3 2 2 2 4" xfId="9482" xr:uid="{7FE918F1-1E01-4A59-9775-BF43509EAA59}"/>
    <cellStyle name="Normal 8 2 3 2 2 2 5" xfId="17911" xr:uid="{1BFD4940-35E0-44D6-A9E3-E098735B95AD}"/>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8" xr:uid="{7C13865A-C2B0-4C73-ABC5-BC2479B7C8F8}"/>
    <cellStyle name="Normal 8 2 3 2 2 3 2 2 3" xfId="24686" xr:uid="{91BFD964-239F-478A-8195-85AA99C45A59}"/>
    <cellStyle name="Normal 8 2 3 2 2 3 2 3" xfId="12040" xr:uid="{81767733-9DCE-489D-8DD5-F57A8EBD82BA}"/>
    <cellStyle name="Normal 8 2 3 2 2 3 2 4" xfId="20469" xr:uid="{5378260B-BF2E-46A0-A38B-BDAE748DE595}"/>
    <cellStyle name="Normal 8 2 3 2 2 3 3" xfId="5684" xr:uid="{00000000-0005-0000-0000-00009C1C0000}"/>
    <cellStyle name="Normal 8 2 3 2 2 3 3 2" xfId="14113" xr:uid="{03C2809E-F657-4CA6-B5B3-86728BADBBBF}"/>
    <cellStyle name="Normal 8 2 3 2 2 3 3 3" xfId="22541" xr:uid="{2ECAFC9D-324B-4FB7-9BB2-B21D13D366F8}"/>
    <cellStyle name="Normal 8 2 3 2 2 3 4" xfId="9895" xr:uid="{927590BB-551C-4991-8787-342CB054DEAD}"/>
    <cellStyle name="Normal 8 2 3 2 2 3 5" xfId="18324" xr:uid="{575D4BA4-D5B1-490A-8BEA-FE9B82A1CEDA}"/>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71" xr:uid="{54ADEE9B-85F7-45B0-B6FF-0F46343DB8EC}"/>
    <cellStyle name="Normal 8 2 3 2 2 4 2 2 3" xfId="25099" xr:uid="{DB9AD08A-88B4-4805-AF7F-8649236BD9F7}"/>
    <cellStyle name="Normal 8 2 3 2 2 4 2 3" xfId="12453" xr:uid="{58FA76B9-29B0-4AF3-AED5-A38FC1907AA1}"/>
    <cellStyle name="Normal 8 2 3 2 2 4 2 4" xfId="20882" xr:uid="{4B88D25F-073D-4C83-B9E2-20D237B107E7}"/>
    <cellStyle name="Normal 8 2 3 2 2 4 3" xfId="6097" xr:uid="{00000000-0005-0000-0000-0000A01C0000}"/>
    <cellStyle name="Normal 8 2 3 2 2 4 3 2" xfId="14526" xr:uid="{58AF5ED7-4B99-4C39-92B9-1E33DB16BA09}"/>
    <cellStyle name="Normal 8 2 3 2 2 4 3 3" xfId="22954" xr:uid="{74F30537-3EB6-4853-BB32-2A17E9D26C3C}"/>
    <cellStyle name="Normal 8 2 3 2 2 4 4" xfId="10308" xr:uid="{5E58B4CC-212A-4078-923E-68FD3D762516}"/>
    <cellStyle name="Normal 8 2 3 2 2 4 5" xfId="18737" xr:uid="{8582C617-24C3-46E5-99DB-4EA832CCC0C5}"/>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84" xr:uid="{ED89DA30-CEC6-49D4-9AC9-A04E4A315B3D}"/>
    <cellStyle name="Normal 8 2 3 2 2 5 2 2 3" xfId="25512" xr:uid="{67FD724C-634A-4306-8A89-7D0297F772A6}"/>
    <cellStyle name="Normal 8 2 3 2 2 5 2 3" xfId="12866" xr:uid="{F989DA0E-A487-42CD-AB1E-2AFD087867E0}"/>
    <cellStyle name="Normal 8 2 3 2 2 5 2 4" xfId="21295" xr:uid="{3D106C05-CECC-4EF0-8C41-E5E419333EA4}"/>
    <cellStyle name="Normal 8 2 3 2 2 5 3" xfId="6510" xr:uid="{00000000-0005-0000-0000-0000A41C0000}"/>
    <cellStyle name="Normal 8 2 3 2 2 5 3 2" xfId="14939" xr:uid="{9583D8EE-7750-448A-A109-0DB15F39550F}"/>
    <cellStyle name="Normal 8 2 3 2 2 5 3 3" xfId="23367" xr:uid="{2CAF7AEF-AB0B-40D8-8DBF-4EBC5CB0F9EC}"/>
    <cellStyle name="Normal 8 2 3 2 2 5 4" xfId="10721" xr:uid="{633E93A3-6739-488F-A734-C603AF84CA0A}"/>
    <cellStyle name="Normal 8 2 3 2 2 5 5" xfId="19150" xr:uid="{346B21D8-50CD-49FA-B66B-FB4F9A0EE1AA}"/>
    <cellStyle name="Normal 8 2 3 2 2 6" xfId="2638" xr:uid="{00000000-0005-0000-0000-0000A51C0000}"/>
    <cellStyle name="Normal 8 2 3 2 2 6 2" xfId="6923" xr:uid="{00000000-0005-0000-0000-0000A61C0000}"/>
    <cellStyle name="Normal 8 2 3 2 2 6 2 2" xfId="15352" xr:uid="{C7CE7D1C-D9A6-4D1B-BB7F-A259DEDC1EDB}"/>
    <cellStyle name="Normal 8 2 3 2 2 6 2 3" xfId="23780" xr:uid="{3351497D-F650-4F7F-BBC2-7AB4BCE0B642}"/>
    <cellStyle name="Normal 8 2 3 2 2 6 3" xfId="11134" xr:uid="{9750E8DC-5A95-40FC-A436-DC119D6B4A68}"/>
    <cellStyle name="Normal 8 2 3 2 2 6 4" xfId="19563" xr:uid="{59BAFE50-B1F3-469F-9580-8A81EC95B7AC}"/>
    <cellStyle name="Normal 8 2 3 2 2 7" xfId="4858" xr:uid="{00000000-0005-0000-0000-0000A71C0000}"/>
    <cellStyle name="Normal 8 2 3 2 2 7 2" xfId="13287" xr:uid="{C12C06E0-82B5-411F-83E0-C2BA98C0F999}"/>
    <cellStyle name="Normal 8 2 3 2 2 7 3" xfId="21715" xr:uid="{EB1C91B3-6CE9-411B-844D-4EEF912C7676}"/>
    <cellStyle name="Normal 8 2 3 2 2 8" xfId="9069" xr:uid="{960B621B-1FE3-40A3-B610-424FAB4C5C6F}"/>
    <cellStyle name="Normal 8 2 3 2 2 9" xfId="17498" xr:uid="{ABEF2591-A14B-4DCE-817C-909086A8711C}"/>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44" xr:uid="{94282F4E-928A-46D8-91AB-9D9F6AF705B1}"/>
    <cellStyle name="Normal 8 2 3 2 3 2 2 3" xfId="24272" xr:uid="{3AC13874-0E41-4C81-B8A5-8D3000198B4E}"/>
    <cellStyle name="Normal 8 2 3 2 3 2 3" xfId="11626" xr:uid="{2D087745-1528-42CD-824C-F24BA9C8EA4C}"/>
    <cellStyle name="Normal 8 2 3 2 3 2 4" xfId="20055" xr:uid="{16EED5E4-C3C2-4864-A46C-0F57F56BF62C}"/>
    <cellStyle name="Normal 8 2 3 2 3 3" xfId="5270" xr:uid="{00000000-0005-0000-0000-0000AB1C0000}"/>
    <cellStyle name="Normal 8 2 3 2 3 3 2" xfId="13699" xr:uid="{4382E2FB-3065-43F0-8FD3-1D95BA20B02C}"/>
    <cellStyle name="Normal 8 2 3 2 3 3 3" xfId="22127" xr:uid="{CC4C052A-D207-4F32-AA77-AE186891CEFC}"/>
    <cellStyle name="Normal 8 2 3 2 3 4" xfId="9481" xr:uid="{B5D3EC42-CFDA-48E7-8CA3-BDB933C9AC56}"/>
    <cellStyle name="Normal 8 2 3 2 3 5" xfId="17910" xr:uid="{85CB229B-8595-4928-B908-EC2959FF0465}"/>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7" xr:uid="{21CF30FF-44AA-46FB-8708-E61C80304357}"/>
    <cellStyle name="Normal 8 2 3 2 4 2 2 3" xfId="24685" xr:uid="{115AD70F-6B8F-4AB0-8E13-FE83586D65C9}"/>
    <cellStyle name="Normal 8 2 3 2 4 2 3" xfId="12039" xr:uid="{AD20A7FC-3EF5-4BCD-8678-359881E1824F}"/>
    <cellStyle name="Normal 8 2 3 2 4 2 4" xfId="20468" xr:uid="{3C8819C3-701C-426F-82F4-CE2FCB806244}"/>
    <cellStyle name="Normal 8 2 3 2 4 3" xfId="5683" xr:uid="{00000000-0005-0000-0000-0000AF1C0000}"/>
    <cellStyle name="Normal 8 2 3 2 4 3 2" xfId="14112" xr:uid="{8531645B-FFDC-4561-8009-C45C7B7CA7C7}"/>
    <cellStyle name="Normal 8 2 3 2 4 3 3" xfId="22540" xr:uid="{BACDDD4A-B991-440B-9C21-54BE8172D4E1}"/>
    <cellStyle name="Normal 8 2 3 2 4 4" xfId="9894" xr:uid="{5790CCCA-2B4D-4788-870E-A948007D7B74}"/>
    <cellStyle name="Normal 8 2 3 2 4 5" xfId="18323" xr:uid="{6D9002B1-69D6-476D-9CB1-762468EC0E44}"/>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70" xr:uid="{E58F49D5-6949-4E46-9FB6-6F26A8A6124B}"/>
    <cellStyle name="Normal 8 2 3 2 5 2 2 3" xfId="25098" xr:uid="{C251039B-1E9D-4B14-83DB-FB5C93CD4391}"/>
    <cellStyle name="Normal 8 2 3 2 5 2 3" xfId="12452" xr:uid="{3C0430A8-57B4-4E9E-B3DB-5DC451B3D89E}"/>
    <cellStyle name="Normal 8 2 3 2 5 2 4" xfId="20881" xr:uid="{9D95C78E-EEF7-470F-A3A6-2DFC9D7EADEC}"/>
    <cellStyle name="Normal 8 2 3 2 5 3" xfId="6096" xr:uid="{00000000-0005-0000-0000-0000B31C0000}"/>
    <cellStyle name="Normal 8 2 3 2 5 3 2" xfId="14525" xr:uid="{88B97775-D535-4BFD-9F3A-30718D0CA045}"/>
    <cellStyle name="Normal 8 2 3 2 5 3 3" xfId="22953" xr:uid="{E03A5C1D-A102-4057-B547-83F50CD24BAD}"/>
    <cellStyle name="Normal 8 2 3 2 5 4" xfId="10307" xr:uid="{5C1B00EA-C322-4893-804E-8B0B7A3DFF34}"/>
    <cellStyle name="Normal 8 2 3 2 5 5" xfId="18736" xr:uid="{5C94EA63-643C-4A4D-AB3B-8E486BB2A28D}"/>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83" xr:uid="{A4877D8F-4149-4FAE-803E-3A16ED01591E}"/>
    <cellStyle name="Normal 8 2 3 2 6 2 2 3" xfId="25511" xr:uid="{DDF8A12A-80E6-4556-AF68-DB6F0FD4EB71}"/>
    <cellStyle name="Normal 8 2 3 2 6 2 3" xfId="12865" xr:uid="{8F8F3ADC-23F8-43C0-87E5-5F3D8B0C7CEA}"/>
    <cellStyle name="Normal 8 2 3 2 6 2 4" xfId="21294" xr:uid="{D3727B1D-C9B8-47EB-BE3E-9A303BC59DC4}"/>
    <cellStyle name="Normal 8 2 3 2 6 3" xfId="6509" xr:uid="{00000000-0005-0000-0000-0000B71C0000}"/>
    <cellStyle name="Normal 8 2 3 2 6 3 2" xfId="14938" xr:uid="{E16E8E44-25BD-4FDC-893E-50CA976F8D17}"/>
    <cellStyle name="Normal 8 2 3 2 6 3 3" xfId="23366" xr:uid="{991C8E5B-EA45-4A22-80F7-47F1A41F154E}"/>
    <cellStyle name="Normal 8 2 3 2 6 4" xfId="10720" xr:uid="{616D3460-55D3-4170-A0D3-819151EF82BD}"/>
    <cellStyle name="Normal 8 2 3 2 6 5" xfId="19149" xr:uid="{E2553B81-A362-4091-AB75-6896C159D8C2}"/>
    <cellStyle name="Normal 8 2 3 2 7" xfId="2637" xr:uid="{00000000-0005-0000-0000-0000B81C0000}"/>
    <cellStyle name="Normal 8 2 3 2 7 2" xfId="6922" xr:uid="{00000000-0005-0000-0000-0000B91C0000}"/>
    <cellStyle name="Normal 8 2 3 2 7 2 2" xfId="15351" xr:uid="{C1BF828E-98FB-410D-8102-BACFAB1B386C}"/>
    <cellStyle name="Normal 8 2 3 2 7 2 3" xfId="23779" xr:uid="{D3B52882-5C5E-439A-B6E7-8893D70E7042}"/>
    <cellStyle name="Normal 8 2 3 2 7 3" xfId="11133" xr:uid="{67FC28A1-7D42-49CD-B76D-8268A44362B1}"/>
    <cellStyle name="Normal 8 2 3 2 7 4" xfId="19562" xr:uid="{5CE5466D-8027-43DD-B5FB-502E3892921C}"/>
    <cellStyle name="Normal 8 2 3 2 8" xfId="4857" xr:uid="{00000000-0005-0000-0000-0000BA1C0000}"/>
    <cellStyle name="Normal 8 2 3 2 8 2" xfId="13286" xr:uid="{7727CF69-8C4B-445E-85FF-450C48E33676}"/>
    <cellStyle name="Normal 8 2 3 2 8 3" xfId="21714" xr:uid="{884A03DB-FF09-4981-B78F-998C76C9F440}"/>
    <cellStyle name="Normal 8 2 3 2 9" xfId="9068" xr:uid="{AB132CE4-D277-4E25-91D9-271D67B01D75}"/>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46" xr:uid="{7E9CAD10-753E-4077-A8B3-0FB384C3F0F6}"/>
    <cellStyle name="Normal 8 2 3 3 2 2 2 3" xfId="24274" xr:uid="{38709FA3-86F4-4770-8CB2-722A23805F0A}"/>
    <cellStyle name="Normal 8 2 3 3 2 2 3" xfId="11628" xr:uid="{509C1688-5AEF-4301-8749-9A9F90D5BE04}"/>
    <cellStyle name="Normal 8 2 3 3 2 2 4" xfId="20057" xr:uid="{3005FB95-71F9-4FC3-8E60-733B1ED821B8}"/>
    <cellStyle name="Normal 8 2 3 3 2 3" xfId="5272" xr:uid="{00000000-0005-0000-0000-0000BF1C0000}"/>
    <cellStyle name="Normal 8 2 3 3 2 3 2" xfId="13701" xr:uid="{6F44190E-5EC4-4A28-8F07-FD1DBBDD906B}"/>
    <cellStyle name="Normal 8 2 3 3 2 3 3" xfId="22129" xr:uid="{63AF279F-3506-43EC-9F2E-F1E22AEF62E7}"/>
    <cellStyle name="Normal 8 2 3 3 2 4" xfId="9483" xr:uid="{6264E5F1-9189-48D4-9E28-84DBC74D832C}"/>
    <cellStyle name="Normal 8 2 3 3 2 5" xfId="17912" xr:uid="{21FEE96C-1043-459D-82E3-F6515A6BFFE6}"/>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9" xr:uid="{83340213-7808-4825-BD09-60FC8B37EEA8}"/>
    <cellStyle name="Normal 8 2 3 3 3 2 2 3" xfId="24687" xr:uid="{7A64FF5D-2940-4A2F-ACF7-8796581761C3}"/>
    <cellStyle name="Normal 8 2 3 3 3 2 3" xfId="12041" xr:uid="{899EB1F2-485D-4C2A-8616-73E8BECE34C1}"/>
    <cellStyle name="Normal 8 2 3 3 3 2 4" xfId="20470" xr:uid="{2B41F017-2BE0-4E7F-8C0C-353063D5E7D8}"/>
    <cellStyle name="Normal 8 2 3 3 3 3" xfId="5685" xr:uid="{00000000-0005-0000-0000-0000C31C0000}"/>
    <cellStyle name="Normal 8 2 3 3 3 3 2" xfId="14114" xr:uid="{613996D6-1BDF-4E2B-8880-30ECA116AD13}"/>
    <cellStyle name="Normal 8 2 3 3 3 3 3" xfId="22542" xr:uid="{48CF047A-1951-4948-9877-0779C66250A8}"/>
    <cellStyle name="Normal 8 2 3 3 3 4" xfId="9896" xr:uid="{B9512DAD-F253-4BBF-8505-E6AD5A48D486}"/>
    <cellStyle name="Normal 8 2 3 3 3 5" xfId="18325" xr:uid="{4E9636B3-FD32-4438-981D-2F6859CCF9B8}"/>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72" xr:uid="{99BC7367-865D-4091-A8BD-4CAEEC4197D5}"/>
    <cellStyle name="Normal 8 2 3 3 4 2 2 3" xfId="25100" xr:uid="{3907C77E-959B-4053-BED4-E50E2D84005B}"/>
    <cellStyle name="Normal 8 2 3 3 4 2 3" xfId="12454" xr:uid="{89BE1EE4-2943-4106-A8B8-91009FAA81C1}"/>
    <cellStyle name="Normal 8 2 3 3 4 2 4" xfId="20883" xr:uid="{BAD3FA4A-B1D6-4015-9CF6-6C53710F69AF}"/>
    <cellStyle name="Normal 8 2 3 3 4 3" xfId="6098" xr:uid="{00000000-0005-0000-0000-0000C71C0000}"/>
    <cellStyle name="Normal 8 2 3 3 4 3 2" xfId="14527" xr:uid="{AC7FDA7D-BE8E-45EF-B9DD-797C68AC9EC5}"/>
    <cellStyle name="Normal 8 2 3 3 4 3 3" xfId="22955" xr:uid="{0448A089-A1AF-4975-811B-C9E29325E205}"/>
    <cellStyle name="Normal 8 2 3 3 4 4" xfId="10309" xr:uid="{16BA5853-DFCF-4A4D-80C5-0379E7839423}"/>
    <cellStyle name="Normal 8 2 3 3 4 5" xfId="18738" xr:uid="{45D14025-67EC-48E8-9469-21374533D11C}"/>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85" xr:uid="{3BAE086C-34CA-4F67-AC8A-7298E82EDB07}"/>
    <cellStyle name="Normal 8 2 3 3 5 2 2 3" xfId="25513" xr:uid="{935763A6-4661-4F67-9EDD-D5FEC98A3DE0}"/>
    <cellStyle name="Normal 8 2 3 3 5 2 3" xfId="12867" xr:uid="{98B8BCA0-2354-47DD-AB1A-DAB7C989A76E}"/>
    <cellStyle name="Normal 8 2 3 3 5 2 4" xfId="21296" xr:uid="{F27DEC39-E30B-4D36-931F-23C650CA749F}"/>
    <cellStyle name="Normal 8 2 3 3 5 3" xfId="6511" xr:uid="{00000000-0005-0000-0000-0000CB1C0000}"/>
    <cellStyle name="Normal 8 2 3 3 5 3 2" xfId="14940" xr:uid="{8017C8F0-F052-484B-8084-88717F08FF5B}"/>
    <cellStyle name="Normal 8 2 3 3 5 3 3" xfId="23368" xr:uid="{007377DC-2B55-4520-BC4E-B8682083C35A}"/>
    <cellStyle name="Normal 8 2 3 3 5 4" xfId="10722" xr:uid="{6D04FF32-FC62-4CE4-86B8-1C4C6A0C5D90}"/>
    <cellStyle name="Normal 8 2 3 3 5 5" xfId="19151" xr:uid="{41AC5BAA-D33D-4FD1-A7B4-E01B94DCD1FF}"/>
    <cellStyle name="Normal 8 2 3 3 6" xfId="2639" xr:uid="{00000000-0005-0000-0000-0000CC1C0000}"/>
    <cellStyle name="Normal 8 2 3 3 6 2" xfId="6924" xr:uid="{00000000-0005-0000-0000-0000CD1C0000}"/>
    <cellStyle name="Normal 8 2 3 3 6 2 2" xfId="15353" xr:uid="{0184EF41-5C8C-4905-99C8-7839443E961A}"/>
    <cellStyle name="Normal 8 2 3 3 6 2 3" xfId="23781" xr:uid="{8641BE27-7425-435D-86B2-485E10802635}"/>
    <cellStyle name="Normal 8 2 3 3 6 3" xfId="11135" xr:uid="{9AD1CDE6-4434-49C6-81FA-68A17535758F}"/>
    <cellStyle name="Normal 8 2 3 3 6 4" xfId="19564" xr:uid="{45974FE9-F709-4029-9FC4-106A88C6C5A3}"/>
    <cellStyle name="Normal 8 2 3 3 7" xfId="4859" xr:uid="{00000000-0005-0000-0000-0000CE1C0000}"/>
    <cellStyle name="Normal 8 2 3 3 7 2" xfId="13288" xr:uid="{5749B462-2A16-4CD0-9A7C-5523CDBCFCA9}"/>
    <cellStyle name="Normal 8 2 3 3 7 3" xfId="21716" xr:uid="{65FA6AE4-8836-40FB-AB22-64D298500AA0}"/>
    <cellStyle name="Normal 8 2 3 3 8" xfId="9070" xr:uid="{63762C32-A60B-4A6A-8A80-2D247A099730}"/>
    <cellStyle name="Normal 8 2 3 3 9" xfId="17499" xr:uid="{C0FB2EB4-050E-43F7-9857-2E1B98FEED9A}"/>
    <cellStyle name="Normal 8 2 3 4" xfId="956" xr:uid="{00000000-0005-0000-0000-0000CF1C0000}"/>
    <cellStyle name="Normal 8 2 3 4 2" xfId="3190" xr:uid="{00000000-0005-0000-0000-0000D01C0000}"/>
    <cellStyle name="Normal 8 2 3 4 2 2" xfId="7414" xr:uid="{00000000-0005-0000-0000-0000D11C0000}"/>
    <cellStyle name="Normal 8 2 3 4 2 2 2" xfId="15843" xr:uid="{54043E3B-6EE5-4AE8-9877-C324E3A4BB9A}"/>
    <cellStyle name="Normal 8 2 3 4 2 2 3" xfId="24271" xr:uid="{85F47CDF-968A-4A4A-9F75-D24ED8C47660}"/>
    <cellStyle name="Normal 8 2 3 4 2 3" xfId="11625" xr:uid="{FEF61DE4-7BBF-47F3-873B-CEDAB2FEDA32}"/>
    <cellStyle name="Normal 8 2 3 4 2 4" xfId="20054" xr:uid="{04591F5D-4731-47C0-AEAF-8337186A578B}"/>
    <cellStyle name="Normal 8 2 3 4 3" xfId="5269" xr:uid="{00000000-0005-0000-0000-0000D21C0000}"/>
    <cellStyle name="Normal 8 2 3 4 3 2" xfId="13698" xr:uid="{EA56E729-E97A-447E-845F-3848B56C7B99}"/>
    <cellStyle name="Normal 8 2 3 4 3 3" xfId="22126" xr:uid="{F16F4E7E-09F7-4991-88BC-D4DF653935A3}"/>
    <cellStyle name="Normal 8 2 3 4 4" xfId="9480" xr:uid="{8BAB814B-DE45-4AEA-9245-9E6115D24318}"/>
    <cellStyle name="Normal 8 2 3 4 5" xfId="17909" xr:uid="{F1AC505C-2E9A-442B-86C7-BDF7A67FF1AE}"/>
    <cellStyle name="Normal 8 2 3 5" xfId="1373" xr:uid="{00000000-0005-0000-0000-0000D31C0000}"/>
    <cellStyle name="Normal 8 2 3 5 2" xfId="3603" xr:uid="{00000000-0005-0000-0000-0000D41C0000}"/>
    <cellStyle name="Normal 8 2 3 5 2 2" xfId="7827" xr:uid="{00000000-0005-0000-0000-0000D51C0000}"/>
    <cellStyle name="Normal 8 2 3 5 2 2 2" xfId="16256" xr:uid="{9F3E435D-C214-423D-9E50-21EEA6B9107F}"/>
    <cellStyle name="Normal 8 2 3 5 2 2 3" xfId="24684" xr:uid="{1C105295-5EAD-43E5-AA1B-CD5F433545BB}"/>
    <cellStyle name="Normal 8 2 3 5 2 3" xfId="12038" xr:uid="{B9EAE05E-96A5-48AC-ABA8-E1256F846538}"/>
    <cellStyle name="Normal 8 2 3 5 2 4" xfId="20467" xr:uid="{2F0A22C9-A83E-4441-8CE2-ECEB87A438DA}"/>
    <cellStyle name="Normal 8 2 3 5 3" xfId="5682" xr:uid="{00000000-0005-0000-0000-0000D61C0000}"/>
    <cellStyle name="Normal 8 2 3 5 3 2" xfId="14111" xr:uid="{C3D9716F-2260-47A8-8BC7-885341197DF1}"/>
    <cellStyle name="Normal 8 2 3 5 3 3" xfId="22539" xr:uid="{68D15008-E2CB-49BB-9719-86172CE24BFE}"/>
    <cellStyle name="Normal 8 2 3 5 4" xfId="9893" xr:uid="{AAC9B569-E72A-4AA9-96D1-9FD5FF1A5D54}"/>
    <cellStyle name="Normal 8 2 3 5 5" xfId="18322" xr:uid="{C83DD9F8-5811-495C-9CF2-0D95570B2F92}"/>
    <cellStyle name="Normal 8 2 3 6" xfId="1786" xr:uid="{00000000-0005-0000-0000-0000D71C0000}"/>
    <cellStyle name="Normal 8 2 3 6 2" xfId="4016" xr:uid="{00000000-0005-0000-0000-0000D81C0000}"/>
    <cellStyle name="Normal 8 2 3 6 2 2" xfId="8240" xr:uid="{00000000-0005-0000-0000-0000D91C0000}"/>
    <cellStyle name="Normal 8 2 3 6 2 2 2" xfId="16669" xr:uid="{A54CA1A6-6846-4E2C-B0C3-E1313FAFE5AD}"/>
    <cellStyle name="Normal 8 2 3 6 2 2 3" xfId="25097" xr:uid="{E0741D6E-0023-4331-8600-6967C8A4745F}"/>
    <cellStyle name="Normal 8 2 3 6 2 3" xfId="12451" xr:uid="{A83F626A-862B-45C8-9FFE-36C5B02E468D}"/>
    <cellStyle name="Normal 8 2 3 6 2 4" xfId="20880" xr:uid="{D50F4D84-A422-4234-A71F-89210B898B7B}"/>
    <cellStyle name="Normal 8 2 3 6 3" xfId="6095" xr:uid="{00000000-0005-0000-0000-0000DA1C0000}"/>
    <cellStyle name="Normal 8 2 3 6 3 2" xfId="14524" xr:uid="{14D48B2E-3474-4A37-ACEB-6B57734D0CB1}"/>
    <cellStyle name="Normal 8 2 3 6 3 3" xfId="22952" xr:uid="{758186F6-82B4-4F32-8A8C-E5A11E19BE22}"/>
    <cellStyle name="Normal 8 2 3 6 4" xfId="10306" xr:uid="{91829E38-7CB8-49A6-B098-B2C59B043882}"/>
    <cellStyle name="Normal 8 2 3 6 5" xfId="18735" xr:uid="{DEB59C4F-8AE5-4727-AAF3-4E5AFFA1355A}"/>
    <cellStyle name="Normal 8 2 3 7" xfId="2200" xr:uid="{00000000-0005-0000-0000-0000DB1C0000}"/>
    <cellStyle name="Normal 8 2 3 7 2" xfId="4429" xr:uid="{00000000-0005-0000-0000-0000DC1C0000}"/>
    <cellStyle name="Normal 8 2 3 7 2 2" xfId="8653" xr:uid="{00000000-0005-0000-0000-0000DD1C0000}"/>
    <cellStyle name="Normal 8 2 3 7 2 2 2" xfId="17082" xr:uid="{85C0278A-DCA7-4F16-8BA2-B4D9183CAA27}"/>
    <cellStyle name="Normal 8 2 3 7 2 2 3" xfId="25510" xr:uid="{7CFE0699-29A7-4851-8E9B-ABF18EA2AE5B}"/>
    <cellStyle name="Normal 8 2 3 7 2 3" xfId="12864" xr:uid="{67BD814C-56A1-48B7-A21B-6D17AFB44471}"/>
    <cellStyle name="Normal 8 2 3 7 2 4" xfId="21293" xr:uid="{3879B926-1477-4089-8D30-445E6BEAE0F3}"/>
    <cellStyle name="Normal 8 2 3 7 3" xfId="6508" xr:uid="{00000000-0005-0000-0000-0000DE1C0000}"/>
    <cellStyle name="Normal 8 2 3 7 3 2" xfId="14937" xr:uid="{C4F468CC-B9B3-4A76-8DA1-F1756E6AD287}"/>
    <cellStyle name="Normal 8 2 3 7 3 3" xfId="23365" xr:uid="{AABF355B-6824-4FAD-8DE8-5AC5F1DD81B8}"/>
    <cellStyle name="Normal 8 2 3 7 4" xfId="10719" xr:uid="{BD083AF1-4516-43D3-80C5-682423CE974C}"/>
    <cellStyle name="Normal 8 2 3 7 5" xfId="19148" xr:uid="{DE3E412B-577A-4794-BB5D-10679703CAC5}"/>
    <cellStyle name="Normal 8 2 3 8" xfId="2636" xr:uid="{00000000-0005-0000-0000-0000DF1C0000}"/>
    <cellStyle name="Normal 8 2 3 8 2" xfId="6921" xr:uid="{00000000-0005-0000-0000-0000E01C0000}"/>
    <cellStyle name="Normal 8 2 3 8 2 2" xfId="15350" xr:uid="{928C970F-F1EA-430D-B826-7A5F8337CC00}"/>
    <cellStyle name="Normal 8 2 3 8 2 3" xfId="23778" xr:uid="{17284F4D-16CB-407F-9F92-F75B01A97F16}"/>
    <cellStyle name="Normal 8 2 3 8 3" xfId="11132" xr:uid="{A6D01425-592E-4F0B-B06E-FDA0B0BAA0C0}"/>
    <cellStyle name="Normal 8 2 3 8 4" xfId="19561" xr:uid="{AE4739C2-00B2-4DCF-80CB-188406DE6420}"/>
    <cellStyle name="Normal 8 2 3 9" xfId="4856" xr:uid="{00000000-0005-0000-0000-0000E11C0000}"/>
    <cellStyle name="Normal 8 2 3 9 2" xfId="13285" xr:uid="{EA000381-0473-401F-BF0C-485895EE661E}"/>
    <cellStyle name="Normal 8 2 3 9 3" xfId="21713" xr:uid="{02D4679B-6CFF-4FCF-B8F9-8A54703E7B5E}"/>
    <cellStyle name="Normal 8 2 4" xfId="492" xr:uid="{00000000-0005-0000-0000-0000E21C0000}"/>
    <cellStyle name="Normal 8 2 4 10" xfId="17500" xr:uid="{E671EAB8-FAF6-4807-B004-FD25E54ECBD1}"/>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8" xr:uid="{D9570EE6-1EAE-4C5B-83C1-36C270C0DAC7}"/>
    <cellStyle name="Normal 8 2 4 2 2 2 2 3" xfId="24276" xr:uid="{308823E8-074D-4E04-9383-B31FCAA78F7B}"/>
    <cellStyle name="Normal 8 2 4 2 2 2 3" xfId="11630" xr:uid="{FA756DA4-17A4-4758-A515-48CC511808AE}"/>
    <cellStyle name="Normal 8 2 4 2 2 2 4" xfId="20059" xr:uid="{24D9AA1D-25C6-4833-8451-7710F519633D}"/>
    <cellStyle name="Normal 8 2 4 2 2 3" xfId="5274" xr:uid="{00000000-0005-0000-0000-0000E71C0000}"/>
    <cellStyle name="Normal 8 2 4 2 2 3 2" xfId="13703" xr:uid="{076AC893-842A-4DA3-AACD-8AA90791C27A}"/>
    <cellStyle name="Normal 8 2 4 2 2 3 3" xfId="22131" xr:uid="{529F67C3-91C8-4759-9694-4D20780E7E16}"/>
    <cellStyle name="Normal 8 2 4 2 2 4" xfId="9485" xr:uid="{195E1BDF-4ED2-4D27-8333-60423B710BA9}"/>
    <cellStyle name="Normal 8 2 4 2 2 5" xfId="17914" xr:uid="{17A60DC4-AD52-499D-995A-F5239020EE90}"/>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61" xr:uid="{0175CE3C-94F0-4F80-B1EB-8AF48B180690}"/>
    <cellStyle name="Normal 8 2 4 2 3 2 2 3" xfId="24689" xr:uid="{B283C23E-277D-48E4-BE25-47A56B245BDE}"/>
    <cellStyle name="Normal 8 2 4 2 3 2 3" xfId="12043" xr:uid="{6D25CC95-2BBD-4181-B924-4A3D16F63DA9}"/>
    <cellStyle name="Normal 8 2 4 2 3 2 4" xfId="20472" xr:uid="{4EE3B10C-669F-4B2A-8B50-09A9ED69BEB6}"/>
    <cellStyle name="Normal 8 2 4 2 3 3" xfId="5687" xr:uid="{00000000-0005-0000-0000-0000EB1C0000}"/>
    <cellStyle name="Normal 8 2 4 2 3 3 2" xfId="14116" xr:uid="{FD38602D-827D-43DD-B019-EAA78FE6F26B}"/>
    <cellStyle name="Normal 8 2 4 2 3 3 3" xfId="22544" xr:uid="{295BB9FF-3F7A-4901-B47A-C37134C7660C}"/>
    <cellStyle name="Normal 8 2 4 2 3 4" xfId="9898" xr:uid="{10A100A9-0B61-41EF-878C-273E415B237D}"/>
    <cellStyle name="Normal 8 2 4 2 3 5" xfId="18327" xr:uid="{8BC0655E-BD12-41EF-9925-DAD8BDC75041}"/>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74" xr:uid="{398D8F7B-99F5-4353-BC38-44D81F434E67}"/>
    <cellStyle name="Normal 8 2 4 2 4 2 2 3" xfId="25102" xr:uid="{D2E693CE-1F9D-422C-B2AF-3FB7FF94125A}"/>
    <cellStyle name="Normal 8 2 4 2 4 2 3" xfId="12456" xr:uid="{90EBC17F-E8FF-4078-82CE-F2B6ADA451FA}"/>
    <cellStyle name="Normal 8 2 4 2 4 2 4" xfId="20885" xr:uid="{51E53C73-D990-4BE3-879C-E0FD7DE98A21}"/>
    <cellStyle name="Normal 8 2 4 2 4 3" xfId="6100" xr:uid="{00000000-0005-0000-0000-0000EF1C0000}"/>
    <cellStyle name="Normal 8 2 4 2 4 3 2" xfId="14529" xr:uid="{2ED6E7FB-5911-4293-83AC-7571E69761D0}"/>
    <cellStyle name="Normal 8 2 4 2 4 3 3" xfId="22957" xr:uid="{C6A75FDF-357B-4181-A84B-60A916E3AB0E}"/>
    <cellStyle name="Normal 8 2 4 2 4 4" xfId="10311" xr:uid="{03F5D463-08EA-4939-B396-D80BF7BED3A1}"/>
    <cellStyle name="Normal 8 2 4 2 4 5" xfId="18740" xr:uid="{445C37A6-016D-4A6C-B3CC-B84D254E7455}"/>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7" xr:uid="{013EB40F-E036-43EB-8997-7A30DE7AF343}"/>
    <cellStyle name="Normal 8 2 4 2 5 2 2 3" xfId="25515" xr:uid="{4EB00F9A-2714-45E2-A54E-2D4AB8D264F5}"/>
    <cellStyle name="Normal 8 2 4 2 5 2 3" xfId="12869" xr:uid="{1800F0EC-8D7E-4C91-B222-17488497D727}"/>
    <cellStyle name="Normal 8 2 4 2 5 2 4" xfId="21298" xr:uid="{DB48FFFC-80AA-4B68-9AD3-B6AB8E968C8A}"/>
    <cellStyle name="Normal 8 2 4 2 5 3" xfId="6513" xr:uid="{00000000-0005-0000-0000-0000F31C0000}"/>
    <cellStyle name="Normal 8 2 4 2 5 3 2" xfId="14942" xr:uid="{9B2FA80C-A175-4F7B-9B17-584F92F06A82}"/>
    <cellStyle name="Normal 8 2 4 2 5 3 3" xfId="23370" xr:uid="{55E33EAC-7A75-4C57-A281-73B6BD66C545}"/>
    <cellStyle name="Normal 8 2 4 2 5 4" xfId="10724" xr:uid="{3363D388-79BB-4FA0-A4BD-EC18C9A1E540}"/>
    <cellStyle name="Normal 8 2 4 2 5 5" xfId="19153" xr:uid="{968EF0A7-24AE-4332-82E3-AD2FD741D85E}"/>
    <cellStyle name="Normal 8 2 4 2 6" xfId="2641" xr:uid="{00000000-0005-0000-0000-0000F41C0000}"/>
    <cellStyle name="Normal 8 2 4 2 6 2" xfId="6926" xr:uid="{00000000-0005-0000-0000-0000F51C0000}"/>
    <cellStyle name="Normal 8 2 4 2 6 2 2" xfId="15355" xr:uid="{FC09628A-21BE-4A8B-A8EA-33BE8836E686}"/>
    <cellStyle name="Normal 8 2 4 2 6 2 3" xfId="23783" xr:uid="{26CF957A-DECF-4AE4-82C5-ACA3734EB87B}"/>
    <cellStyle name="Normal 8 2 4 2 6 3" xfId="11137" xr:uid="{69C27897-88B8-4B6F-99D2-D0E9F4A83FBA}"/>
    <cellStyle name="Normal 8 2 4 2 6 4" xfId="19566" xr:uid="{7633A291-6D9C-49D6-AFF5-EBB918440867}"/>
    <cellStyle name="Normal 8 2 4 2 7" xfId="4861" xr:uid="{00000000-0005-0000-0000-0000F61C0000}"/>
    <cellStyle name="Normal 8 2 4 2 7 2" xfId="13290" xr:uid="{2A6D87D8-3EDD-4CE2-83E5-097A679CC3C2}"/>
    <cellStyle name="Normal 8 2 4 2 7 3" xfId="21718" xr:uid="{79E630A8-7E43-4E0F-94DA-B70BBFAA5267}"/>
    <cellStyle name="Normal 8 2 4 2 8" xfId="9072" xr:uid="{F08A75E0-8632-4269-B8AD-DF0BEFEAC003}"/>
    <cellStyle name="Normal 8 2 4 2 9" xfId="17501" xr:uid="{0031078C-C145-44A4-A371-BA12BACEC36E}"/>
    <cellStyle name="Normal 8 2 4 3" xfId="960" xr:uid="{00000000-0005-0000-0000-0000F71C0000}"/>
    <cellStyle name="Normal 8 2 4 3 2" xfId="3194" xr:uid="{00000000-0005-0000-0000-0000F81C0000}"/>
    <cellStyle name="Normal 8 2 4 3 2 2" xfId="7418" xr:uid="{00000000-0005-0000-0000-0000F91C0000}"/>
    <cellStyle name="Normal 8 2 4 3 2 2 2" xfId="15847" xr:uid="{9FA5310B-FBC2-4C80-9751-2DE53697F390}"/>
    <cellStyle name="Normal 8 2 4 3 2 2 3" xfId="24275" xr:uid="{A1FCA9D3-8400-4B3D-97C0-A6EF5E9DEBC3}"/>
    <cellStyle name="Normal 8 2 4 3 2 3" xfId="11629" xr:uid="{88FCD982-6CDC-41D6-9BC3-E7592C39AE0E}"/>
    <cellStyle name="Normal 8 2 4 3 2 4" xfId="20058" xr:uid="{7C1B26CF-AD13-4AE2-9D7F-7DD4CF202B5F}"/>
    <cellStyle name="Normal 8 2 4 3 3" xfId="5273" xr:uid="{00000000-0005-0000-0000-0000FA1C0000}"/>
    <cellStyle name="Normal 8 2 4 3 3 2" xfId="13702" xr:uid="{A5D08ACF-3A26-4721-8BDD-3761938B0406}"/>
    <cellStyle name="Normal 8 2 4 3 3 3" xfId="22130" xr:uid="{DD41A7D7-1A54-43B0-B3AA-15A50B245D9A}"/>
    <cellStyle name="Normal 8 2 4 3 4" xfId="9484" xr:uid="{43209129-1053-4DDC-BFA0-FA067FDAE76D}"/>
    <cellStyle name="Normal 8 2 4 3 5" xfId="17913" xr:uid="{A6135842-270F-4061-AD4B-5350B448FEBE}"/>
    <cellStyle name="Normal 8 2 4 4" xfId="1377" xr:uid="{00000000-0005-0000-0000-0000FB1C0000}"/>
    <cellStyle name="Normal 8 2 4 4 2" xfId="3607" xr:uid="{00000000-0005-0000-0000-0000FC1C0000}"/>
    <cellStyle name="Normal 8 2 4 4 2 2" xfId="7831" xr:uid="{00000000-0005-0000-0000-0000FD1C0000}"/>
    <cellStyle name="Normal 8 2 4 4 2 2 2" xfId="16260" xr:uid="{E00891FD-C9DB-4C77-A23C-333C09333C74}"/>
    <cellStyle name="Normal 8 2 4 4 2 2 3" xfId="24688" xr:uid="{76B42061-16DF-4728-85B5-40113CC003AC}"/>
    <cellStyle name="Normal 8 2 4 4 2 3" xfId="12042" xr:uid="{29C38C6E-1B39-46C1-8692-6DFECD9FB042}"/>
    <cellStyle name="Normal 8 2 4 4 2 4" xfId="20471" xr:uid="{6CDEB4BE-7EA5-4CC8-A265-5E6DE67721A9}"/>
    <cellStyle name="Normal 8 2 4 4 3" xfId="5686" xr:uid="{00000000-0005-0000-0000-0000FE1C0000}"/>
    <cellStyle name="Normal 8 2 4 4 3 2" xfId="14115" xr:uid="{4D8AD4F4-8777-4819-87C0-443236655D45}"/>
    <cellStyle name="Normal 8 2 4 4 3 3" xfId="22543" xr:uid="{8F59E338-8FF0-4A4D-BF55-DD681C76125A}"/>
    <cellStyle name="Normal 8 2 4 4 4" xfId="9897" xr:uid="{0464C20C-5AAE-474B-BB77-5BE144FD3281}"/>
    <cellStyle name="Normal 8 2 4 4 5" xfId="18326" xr:uid="{AA70139A-50F0-4F74-805E-CA168C735FC1}"/>
    <cellStyle name="Normal 8 2 4 5" xfId="1790" xr:uid="{00000000-0005-0000-0000-0000FF1C0000}"/>
    <cellStyle name="Normal 8 2 4 5 2" xfId="4020" xr:uid="{00000000-0005-0000-0000-0000001D0000}"/>
    <cellStyle name="Normal 8 2 4 5 2 2" xfId="8244" xr:uid="{00000000-0005-0000-0000-0000011D0000}"/>
    <cellStyle name="Normal 8 2 4 5 2 2 2" xfId="16673" xr:uid="{7761D488-DC01-455A-B595-C2738B670CAB}"/>
    <cellStyle name="Normal 8 2 4 5 2 2 3" xfId="25101" xr:uid="{5FC8EE95-D978-4589-9215-583D0A6CFC2E}"/>
    <cellStyle name="Normal 8 2 4 5 2 3" xfId="12455" xr:uid="{350F9298-5500-4DE5-AB86-CDEC23155B5B}"/>
    <cellStyle name="Normal 8 2 4 5 2 4" xfId="20884" xr:uid="{ABC7AF67-AA89-46FA-9757-16A4A842ED57}"/>
    <cellStyle name="Normal 8 2 4 5 3" xfId="6099" xr:uid="{00000000-0005-0000-0000-0000021D0000}"/>
    <cellStyle name="Normal 8 2 4 5 3 2" xfId="14528" xr:uid="{49E8501E-8963-4FDE-B356-583CD365AD88}"/>
    <cellStyle name="Normal 8 2 4 5 3 3" xfId="22956" xr:uid="{B269B791-FC09-4A48-8D82-508A522921EE}"/>
    <cellStyle name="Normal 8 2 4 5 4" xfId="10310" xr:uid="{3021BD2E-4670-4AA9-825E-C10246BB2F2E}"/>
    <cellStyle name="Normal 8 2 4 5 5" xfId="18739" xr:uid="{D69B230D-2F3E-4A05-95F7-3C9C0E3DE283}"/>
    <cellStyle name="Normal 8 2 4 6" xfId="2204" xr:uid="{00000000-0005-0000-0000-0000031D0000}"/>
    <cellStyle name="Normal 8 2 4 6 2" xfId="4433" xr:uid="{00000000-0005-0000-0000-0000041D0000}"/>
    <cellStyle name="Normal 8 2 4 6 2 2" xfId="8657" xr:uid="{00000000-0005-0000-0000-0000051D0000}"/>
    <cellStyle name="Normal 8 2 4 6 2 2 2" xfId="17086" xr:uid="{C8352229-A850-4ADE-823F-09B5434A2CC7}"/>
    <cellStyle name="Normal 8 2 4 6 2 2 3" xfId="25514" xr:uid="{84C62C99-FDE0-4CCF-AAD2-C72ED2A178F4}"/>
    <cellStyle name="Normal 8 2 4 6 2 3" xfId="12868" xr:uid="{4E8BC12D-6A95-447D-9E73-31C620FB6CB8}"/>
    <cellStyle name="Normal 8 2 4 6 2 4" xfId="21297" xr:uid="{3A621671-7DCE-4EC2-8C56-2027AC9868B4}"/>
    <cellStyle name="Normal 8 2 4 6 3" xfId="6512" xr:uid="{00000000-0005-0000-0000-0000061D0000}"/>
    <cellStyle name="Normal 8 2 4 6 3 2" xfId="14941" xr:uid="{10902048-E403-448B-92C5-58E4F5521D32}"/>
    <cellStyle name="Normal 8 2 4 6 3 3" xfId="23369" xr:uid="{49207AE8-AD0F-43E3-BDA3-45C516B28DF6}"/>
    <cellStyle name="Normal 8 2 4 6 4" xfId="10723" xr:uid="{CFF7B4D2-1D74-460E-A860-1A744B245360}"/>
    <cellStyle name="Normal 8 2 4 6 5" xfId="19152" xr:uid="{09519C5E-1CCF-4472-9A23-93CFAF812B0B}"/>
    <cellStyle name="Normal 8 2 4 7" xfId="2640" xr:uid="{00000000-0005-0000-0000-0000071D0000}"/>
    <cellStyle name="Normal 8 2 4 7 2" xfId="6925" xr:uid="{00000000-0005-0000-0000-0000081D0000}"/>
    <cellStyle name="Normal 8 2 4 7 2 2" xfId="15354" xr:uid="{CEB7F2CE-6564-4B55-806C-50D287D6DE54}"/>
    <cellStyle name="Normal 8 2 4 7 2 3" xfId="23782" xr:uid="{BDA7E08D-5FBA-4DCC-A8CD-0A5CCB4ED9F0}"/>
    <cellStyle name="Normal 8 2 4 7 3" xfId="11136" xr:uid="{BC6D8375-CB4E-4F1E-BA3F-7C53A6E2AAB4}"/>
    <cellStyle name="Normal 8 2 4 7 4" xfId="19565" xr:uid="{BB7899D2-5707-45C4-926A-F6C56F9218E6}"/>
    <cellStyle name="Normal 8 2 4 8" xfId="4860" xr:uid="{00000000-0005-0000-0000-0000091D0000}"/>
    <cellStyle name="Normal 8 2 4 8 2" xfId="13289" xr:uid="{3FD0A363-E0D7-4871-9BCE-B773D876092D}"/>
    <cellStyle name="Normal 8 2 4 8 3" xfId="21717" xr:uid="{B21CE1FC-F9D9-48B9-8D5E-357514D06907}"/>
    <cellStyle name="Normal 8 2 4 9" xfId="9071" xr:uid="{0E560896-DDDE-420E-B1E1-F9D36211FC03}"/>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9" xr:uid="{B3773CAE-EF2C-4AB8-A04C-DBE2EA3BB231}"/>
    <cellStyle name="Normal 8 2 5 2 2 2 3" xfId="24277" xr:uid="{4F8B591C-E605-49D0-977B-000AAF9E9A77}"/>
    <cellStyle name="Normal 8 2 5 2 2 3" xfId="11631" xr:uid="{CF928136-A06E-4760-BCBB-0852223F2711}"/>
    <cellStyle name="Normal 8 2 5 2 2 4" xfId="20060" xr:uid="{5C1579AC-FA10-4E74-BFB5-FA0C348A688E}"/>
    <cellStyle name="Normal 8 2 5 2 3" xfId="5275" xr:uid="{00000000-0005-0000-0000-00000E1D0000}"/>
    <cellStyle name="Normal 8 2 5 2 3 2" xfId="13704" xr:uid="{3BE3FEB1-CEC5-4FAB-B58E-D2AC7B615E3D}"/>
    <cellStyle name="Normal 8 2 5 2 3 3" xfId="22132" xr:uid="{D5B6BBD1-5236-4BE8-8B39-BF02E5A0F894}"/>
    <cellStyle name="Normal 8 2 5 2 4" xfId="9486" xr:uid="{6323298A-36B1-4D63-9B52-9F9F41BEC565}"/>
    <cellStyle name="Normal 8 2 5 2 5" xfId="17915" xr:uid="{9481D6EA-1ED0-44AA-8F48-C298BBA5FCD3}"/>
    <cellStyle name="Normal 8 2 5 3" xfId="1379" xr:uid="{00000000-0005-0000-0000-00000F1D0000}"/>
    <cellStyle name="Normal 8 2 5 3 2" xfId="3609" xr:uid="{00000000-0005-0000-0000-0000101D0000}"/>
    <cellStyle name="Normal 8 2 5 3 2 2" xfId="7833" xr:uid="{00000000-0005-0000-0000-0000111D0000}"/>
    <cellStyle name="Normal 8 2 5 3 2 2 2" xfId="16262" xr:uid="{5238CD07-8938-4559-8F03-B71E572D0B22}"/>
    <cellStyle name="Normal 8 2 5 3 2 2 3" xfId="24690" xr:uid="{E7FF2B06-2577-480E-A22F-C33A41A8FFCC}"/>
    <cellStyle name="Normal 8 2 5 3 2 3" xfId="12044" xr:uid="{3CF28EDF-9AF9-4AFA-9E0B-6CF9B33FCEEA}"/>
    <cellStyle name="Normal 8 2 5 3 2 4" xfId="20473" xr:uid="{8C1BC160-CFA0-44AD-BE05-084B20DCB741}"/>
    <cellStyle name="Normal 8 2 5 3 3" xfId="5688" xr:uid="{00000000-0005-0000-0000-0000121D0000}"/>
    <cellStyle name="Normal 8 2 5 3 3 2" xfId="14117" xr:uid="{613CA280-B2B5-4945-AA61-957DFD2F064D}"/>
    <cellStyle name="Normal 8 2 5 3 3 3" xfId="22545" xr:uid="{F24D5EF7-C652-42E1-94D8-2FF31AC5D7FF}"/>
    <cellStyle name="Normal 8 2 5 3 4" xfId="9899" xr:uid="{36E01509-5EAD-4F61-899C-B87FD1E91B66}"/>
    <cellStyle name="Normal 8 2 5 3 5" xfId="18328" xr:uid="{2D2E1D59-080B-4743-B303-1C4C5918A076}"/>
    <cellStyle name="Normal 8 2 5 4" xfId="1792" xr:uid="{00000000-0005-0000-0000-0000131D0000}"/>
    <cellStyle name="Normal 8 2 5 4 2" xfId="4022" xr:uid="{00000000-0005-0000-0000-0000141D0000}"/>
    <cellStyle name="Normal 8 2 5 4 2 2" xfId="8246" xr:uid="{00000000-0005-0000-0000-0000151D0000}"/>
    <cellStyle name="Normal 8 2 5 4 2 2 2" xfId="16675" xr:uid="{10A14DC9-886E-4970-B4FC-F9CC5509656B}"/>
    <cellStyle name="Normal 8 2 5 4 2 2 3" xfId="25103" xr:uid="{DF7A8236-30DC-4FA6-99EE-505105EB815B}"/>
    <cellStyle name="Normal 8 2 5 4 2 3" xfId="12457" xr:uid="{98D39CDC-3070-4760-9199-723EE86130A8}"/>
    <cellStyle name="Normal 8 2 5 4 2 4" xfId="20886" xr:uid="{FDBEB3A9-ACE0-4ABE-8965-B93085101DF2}"/>
    <cellStyle name="Normal 8 2 5 4 3" xfId="6101" xr:uid="{00000000-0005-0000-0000-0000161D0000}"/>
    <cellStyle name="Normal 8 2 5 4 3 2" xfId="14530" xr:uid="{AEEC7F14-8C72-415C-AA56-DFB603AA7DD2}"/>
    <cellStyle name="Normal 8 2 5 4 3 3" xfId="22958" xr:uid="{D60E1950-212E-4BE4-8BD1-31BBF901DA1F}"/>
    <cellStyle name="Normal 8 2 5 4 4" xfId="10312" xr:uid="{673D6045-967F-42B1-B8F4-43EBF14B866E}"/>
    <cellStyle name="Normal 8 2 5 4 5" xfId="18741" xr:uid="{831EC140-C6D4-4C8D-9F77-5AE3701C245C}"/>
    <cellStyle name="Normal 8 2 5 5" xfId="2206" xr:uid="{00000000-0005-0000-0000-0000171D0000}"/>
    <cellStyle name="Normal 8 2 5 5 2" xfId="4435" xr:uid="{00000000-0005-0000-0000-0000181D0000}"/>
    <cellStyle name="Normal 8 2 5 5 2 2" xfId="8659" xr:uid="{00000000-0005-0000-0000-0000191D0000}"/>
    <cellStyle name="Normal 8 2 5 5 2 2 2" xfId="17088" xr:uid="{356E2AB4-1055-44BF-9C01-7594F88D444E}"/>
    <cellStyle name="Normal 8 2 5 5 2 2 3" xfId="25516" xr:uid="{8ACC9F83-C26A-4C84-8C37-DAC4F08A7FFC}"/>
    <cellStyle name="Normal 8 2 5 5 2 3" xfId="12870" xr:uid="{2F337317-D12C-445C-882A-0FDC6034F050}"/>
    <cellStyle name="Normal 8 2 5 5 2 4" xfId="21299" xr:uid="{E0ECEF9B-E26B-4BCF-BB45-819985DED6F4}"/>
    <cellStyle name="Normal 8 2 5 5 3" xfId="6514" xr:uid="{00000000-0005-0000-0000-00001A1D0000}"/>
    <cellStyle name="Normal 8 2 5 5 3 2" xfId="14943" xr:uid="{5B734354-2B60-477B-9E49-9FA91BAF69C3}"/>
    <cellStyle name="Normal 8 2 5 5 3 3" xfId="23371" xr:uid="{A1540399-6539-4B75-A20A-D36C02684BC9}"/>
    <cellStyle name="Normal 8 2 5 5 4" xfId="10725" xr:uid="{3A42EB9F-DC70-487C-B2BC-8466361C1CE7}"/>
    <cellStyle name="Normal 8 2 5 5 5" xfId="19154" xr:uid="{33C0FB91-B4EA-41AC-A1CA-113B72668601}"/>
    <cellStyle name="Normal 8 2 5 6" xfId="2642" xr:uid="{00000000-0005-0000-0000-00001B1D0000}"/>
    <cellStyle name="Normal 8 2 5 6 2" xfId="6927" xr:uid="{00000000-0005-0000-0000-00001C1D0000}"/>
    <cellStyle name="Normal 8 2 5 6 2 2" xfId="15356" xr:uid="{708EB13A-5741-409E-B012-1200969B7225}"/>
    <cellStyle name="Normal 8 2 5 6 2 3" xfId="23784" xr:uid="{4CBD1E7B-2795-4464-94C3-6809EC29D974}"/>
    <cellStyle name="Normal 8 2 5 6 3" xfId="11138" xr:uid="{44157DDF-397F-402D-B6F7-54E171590AF1}"/>
    <cellStyle name="Normal 8 2 5 6 4" xfId="19567" xr:uid="{4CB88F52-771E-471A-95C8-DD5BC352D8AD}"/>
    <cellStyle name="Normal 8 2 5 7" xfId="4862" xr:uid="{00000000-0005-0000-0000-00001D1D0000}"/>
    <cellStyle name="Normal 8 2 5 7 2" xfId="13291" xr:uid="{676EF0D6-9BF6-40C5-8A24-8BC6DC3B7260}"/>
    <cellStyle name="Normal 8 2 5 7 3" xfId="21719" xr:uid="{9A5028EE-4F86-47F9-881E-6C63E15FB607}"/>
    <cellStyle name="Normal 8 2 5 8" xfId="9073" xr:uid="{A34450F2-B72C-4D36-AF53-791801C3D8A2}"/>
    <cellStyle name="Normal 8 2 5 9" xfId="17502" xr:uid="{EC6A00FF-B3B8-4322-BD8B-4FF26CA19009}"/>
    <cellStyle name="Normal 8 2 6" xfId="947" xr:uid="{00000000-0005-0000-0000-00001E1D0000}"/>
    <cellStyle name="Normal 8 2 6 2" xfId="3181" xr:uid="{00000000-0005-0000-0000-00001F1D0000}"/>
    <cellStyle name="Normal 8 2 6 2 2" xfId="7405" xr:uid="{00000000-0005-0000-0000-0000201D0000}"/>
    <cellStyle name="Normal 8 2 6 2 2 2" xfId="15834" xr:uid="{10F722A2-3A81-4B66-AF89-93A68067B060}"/>
    <cellStyle name="Normal 8 2 6 2 2 3" xfId="24262" xr:uid="{36D8085A-7267-4D9B-AAC6-557A95E41E11}"/>
    <cellStyle name="Normal 8 2 6 2 3" xfId="11616" xr:uid="{7E27D807-AAAB-41DD-B079-FCC8A6608BCE}"/>
    <cellStyle name="Normal 8 2 6 2 4" xfId="20045" xr:uid="{F085BCFC-8299-4B76-A2CD-C4CEE2255117}"/>
    <cellStyle name="Normal 8 2 6 3" xfId="5260" xr:uid="{00000000-0005-0000-0000-0000211D0000}"/>
    <cellStyle name="Normal 8 2 6 3 2" xfId="13689" xr:uid="{2A7F406B-0618-4C54-AE08-720601EE6CCD}"/>
    <cellStyle name="Normal 8 2 6 3 3" xfId="22117" xr:uid="{D445554F-A532-46B6-8D25-3DD6E26C3CA2}"/>
    <cellStyle name="Normal 8 2 6 4" xfId="9471" xr:uid="{280204B7-D9F9-45E5-B398-413760D326DD}"/>
    <cellStyle name="Normal 8 2 6 5" xfId="17900" xr:uid="{BD0D3F41-B7D8-44E0-B8A0-1DAA1DB97B81}"/>
    <cellStyle name="Normal 8 2 7" xfId="1364" xr:uid="{00000000-0005-0000-0000-0000221D0000}"/>
    <cellStyle name="Normal 8 2 7 2" xfId="3594" xr:uid="{00000000-0005-0000-0000-0000231D0000}"/>
    <cellStyle name="Normal 8 2 7 2 2" xfId="7818" xr:uid="{00000000-0005-0000-0000-0000241D0000}"/>
    <cellStyle name="Normal 8 2 7 2 2 2" xfId="16247" xr:uid="{E89B666A-DE9A-4DA8-AE6F-CE7898C5A6F3}"/>
    <cellStyle name="Normal 8 2 7 2 2 3" xfId="24675" xr:uid="{9F12F9C9-1F49-4A08-B9B5-9D508D2049C1}"/>
    <cellStyle name="Normal 8 2 7 2 3" xfId="12029" xr:uid="{30D35A1D-9B0B-433A-A07D-85200038C26E}"/>
    <cellStyle name="Normal 8 2 7 2 4" xfId="20458" xr:uid="{335BFAD8-AF56-44E4-AEC2-FBCD8CDB2628}"/>
    <cellStyle name="Normal 8 2 7 3" xfId="5673" xr:uid="{00000000-0005-0000-0000-0000251D0000}"/>
    <cellStyle name="Normal 8 2 7 3 2" xfId="14102" xr:uid="{F144F984-7508-4DD3-AA95-F50650D83F4B}"/>
    <cellStyle name="Normal 8 2 7 3 3" xfId="22530" xr:uid="{C7E1B192-D870-4659-A5B1-15D75D0401B7}"/>
    <cellStyle name="Normal 8 2 7 4" xfId="9884" xr:uid="{94CAE5F1-8130-4222-BED8-119DF0BEF2F4}"/>
    <cellStyle name="Normal 8 2 7 5" xfId="18313" xr:uid="{434D42EB-E38D-4191-8390-7E9559ECFC1B}"/>
    <cellStyle name="Normal 8 2 8" xfId="1777" xr:uid="{00000000-0005-0000-0000-0000261D0000}"/>
    <cellStyle name="Normal 8 2 8 2" xfId="4007" xr:uid="{00000000-0005-0000-0000-0000271D0000}"/>
    <cellStyle name="Normal 8 2 8 2 2" xfId="8231" xr:uid="{00000000-0005-0000-0000-0000281D0000}"/>
    <cellStyle name="Normal 8 2 8 2 2 2" xfId="16660" xr:uid="{C66EFCE1-D9A7-4C6F-A578-F72628BEA5B8}"/>
    <cellStyle name="Normal 8 2 8 2 2 3" xfId="25088" xr:uid="{30602A0E-99C7-414F-909C-81D99472A9ED}"/>
    <cellStyle name="Normal 8 2 8 2 3" xfId="12442" xr:uid="{15C41D13-C99B-4DB5-8293-EEA2805AFC55}"/>
    <cellStyle name="Normal 8 2 8 2 4" xfId="20871" xr:uid="{760CDA00-EA49-42F9-AC7F-37F31D1A00A5}"/>
    <cellStyle name="Normal 8 2 8 3" xfId="6086" xr:uid="{00000000-0005-0000-0000-0000291D0000}"/>
    <cellStyle name="Normal 8 2 8 3 2" xfId="14515" xr:uid="{42A569DA-FF9F-496D-87E6-359648773D61}"/>
    <cellStyle name="Normal 8 2 8 3 3" xfId="22943" xr:uid="{06011031-24FC-4013-86BD-2B471F953567}"/>
    <cellStyle name="Normal 8 2 8 4" xfId="10297" xr:uid="{3908900B-A22C-43FC-8DBC-C1414C1A868B}"/>
    <cellStyle name="Normal 8 2 8 5" xfId="18726" xr:uid="{57A49019-17B4-4B38-9452-1BC0D107D2E4}"/>
    <cellStyle name="Normal 8 2 9" xfId="2191" xr:uid="{00000000-0005-0000-0000-00002A1D0000}"/>
    <cellStyle name="Normal 8 2 9 2" xfId="4420" xr:uid="{00000000-0005-0000-0000-00002B1D0000}"/>
    <cellStyle name="Normal 8 2 9 2 2" xfId="8644" xr:uid="{00000000-0005-0000-0000-00002C1D0000}"/>
    <cellStyle name="Normal 8 2 9 2 2 2" xfId="17073" xr:uid="{FF361C9F-AF8B-431C-881C-DAC6AA65E011}"/>
    <cellStyle name="Normal 8 2 9 2 2 3" xfId="25501" xr:uid="{4E298765-9374-4CD8-BC89-A0C9E309AAE7}"/>
    <cellStyle name="Normal 8 2 9 2 3" xfId="12855" xr:uid="{2AB371E3-53CE-4F84-8D31-40ECEA20409F}"/>
    <cellStyle name="Normal 8 2 9 2 4" xfId="21284" xr:uid="{928A4F81-1E5F-4AC1-999C-3633E9AFA65D}"/>
    <cellStyle name="Normal 8 2 9 3" xfId="6499" xr:uid="{00000000-0005-0000-0000-00002D1D0000}"/>
    <cellStyle name="Normal 8 2 9 3 2" xfId="14928" xr:uid="{953E619B-2EA7-4D09-AD9F-0CA4DD6E28F9}"/>
    <cellStyle name="Normal 8 2 9 3 3" xfId="23356" xr:uid="{E7DF8473-2CED-43E8-8A01-21905C983233}"/>
    <cellStyle name="Normal 8 2 9 4" xfId="10710" xr:uid="{03C56EE7-6189-4621-BB76-B77EAA56EE03}"/>
    <cellStyle name="Normal 8 2 9 5" xfId="19139" xr:uid="{7D77D7C3-E700-4882-A701-9A059B27DA6A}"/>
    <cellStyle name="Normal 8 3" xfId="495" xr:uid="{00000000-0005-0000-0000-00002E1D0000}"/>
    <cellStyle name="Normal 8 3 10" xfId="4863" xr:uid="{00000000-0005-0000-0000-00002F1D0000}"/>
    <cellStyle name="Normal 8 3 10 2" xfId="13292" xr:uid="{69C35D20-FD86-4F0C-80C1-7D38EACF465F}"/>
    <cellStyle name="Normal 8 3 10 3" xfId="21720" xr:uid="{D2F0A53D-E930-4E59-9012-46326EA26B15}"/>
    <cellStyle name="Normal 8 3 11" xfId="9074" xr:uid="{C942DA53-7E6F-45AC-89E5-50664F991E2A}"/>
    <cellStyle name="Normal 8 3 12" xfId="17503" xr:uid="{5238C9AE-63A2-42F6-AFFD-13274F1CD099}"/>
    <cellStyle name="Normal 8 3 2" xfId="496" xr:uid="{00000000-0005-0000-0000-0000301D0000}"/>
    <cellStyle name="Normal 8 3 2 10" xfId="9075" xr:uid="{D35C0E68-75DD-469B-A8DD-580AB9C9587A}"/>
    <cellStyle name="Normal 8 3 2 11" xfId="17504" xr:uid="{7D0127F9-F4CB-48ED-BACF-EB42EF9CB0D4}"/>
    <cellStyle name="Normal 8 3 2 2" xfId="497" xr:uid="{00000000-0005-0000-0000-0000311D0000}"/>
    <cellStyle name="Normal 8 3 2 2 10" xfId="17505" xr:uid="{3FD3D3F6-3012-4E9B-B8E7-2598C08D4878}"/>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53" xr:uid="{6E4EC72C-F07E-472F-A5BE-1CDFA97C8FAB}"/>
    <cellStyle name="Normal 8 3 2 2 2 2 2 2 3" xfId="24281" xr:uid="{A44999BF-449C-489F-8F84-2241C6DFFD78}"/>
    <cellStyle name="Normal 8 3 2 2 2 2 2 3" xfId="11635" xr:uid="{09D47665-CD3D-43B3-ACD6-62E444684AA3}"/>
    <cellStyle name="Normal 8 3 2 2 2 2 2 4" xfId="20064" xr:uid="{876ECCE6-4264-4EE3-843C-1B8BCC29F6A0}"/>
    <cellStyle name="Normal 8 3 2 2 2 2 3" xfId="5279" xr:uid="{00000000-0005-0000-0000-0000361D0000}"/>
    <cellStyle name="Normal 8 3 2 2 2 2 3 2" xfId="13708" xr:uid="{D70A70AE-CC62-4FE0-A82A-9B7C8E337F36}"/>
    <cellStyle name="Normal 8 3 2 2 2 2 3 3" xfId="22136" xr:uid="{ED97A2CB-2953-41EB-A7B3-3B9CC85D11F7}"/>
    <cellStyle name="Normal 8 3 2 2 2 2 4" xfId="9490" xr:uid="{DCA22FB6-7493-461D-A18B-CF50F70371A3}"/>
    <cellStyle name="Normal 8 3 2 2 2 2 5" xfId="17919" xr:uid="{6F733A71-C8F5-4051-A642-DFCBF79D4282}"/>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66" xr:uid="{2BA4C4C3-C99A-48AC-B89D-512A87609E5E}"/>
    <cellStyle name="Normal 8 3 2 2 2 3 2 2 3" xfId="24694" xr:uid="{0CC44120-2CB6-476B-8672-0A521229F4D5}"/>
    <cellStyle name="Normal 8 3 2 2 2 3 2 3" xfId="12048" xr:uid="{BBF5AA70-06A7-4E3C-9B53-0402331B4B13}"/>
    <cellStyle name="Normal 8 3 2 2 2 3 2 4" xfId="20477" xr:uid="{CA022C54-1E59-42FA-9FF7-7763D8442F2C}"/>
    <cellStyle name="Normal 8 3 2 2 2 3 3" xfId="5692" xr:uid="{00000000-0005-0000-0000-00003A1D0000}"/>
    <cellStyle name="Normal 8 3 2 2 2 3 3 2" xfId="14121" xr:uid="{9B8498FC-14CE-4EC1-B734-63E6CCFE0183}"/>
    <cellStyle name="Normal 8 3 2 2 2 3 3 3" xfId="22549" xr:uid="{C34C120A-D430-4D18-BE18-E657B3E21B91}"/>
    <cellStyle name="Normal 8 3 2 2 2 3 4" xfId="9903" xr:uid="{A336822A-7F1F-4017-BA01-7C41FCF0CA06}"/>
    <cellStyle name="Normal 8 3 2 2 2 3 5" xfId="18332" xr:uid="{7579FB6B-72DE-4155-992F-C42C063B8D3E}"/>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9" xr:uid="{8664E9D2-0973-4455-865C-F50086AD9E87}"/>
    <cellStyle name="Normal 8 3 2 2 2 4 2 2 3" xfId="25107" xr:uid="{108DA4A3-EBA9-4EDF-A926-F61DDADBF819}"/>
    <cellStyle name="Normal 8 3 2 2 2 4 2 3" xfId="12461" xr:uid="{A670F3CD-78DB-4722-9BFC-9CC4B9237D81}"/>
    <cellStyle name="Normal 8 3 2 2 2 4 2 4" xfId="20890" xr:uid="{CE579405-76CB-4924-BD16-69FD9130624E}"/>
    <cellStyle name="Normal 8 3 2 2 2 4 3" xfId="6105" xr:uid="{00000000-0005-0000-0000-00003E1D0000}"/>
    <cellStyle name="Normal 8 3 2 2 2 4 3 2" xfId="14534" xr:uid="{7D304D93-F22F-464A-94E3-69475940CB8A}"/>
    <cellStyle name="Normal 8 3 2 2 2 4 3 3" xfId="22962" xr:uid="{FD5F076E-605A-4F8C-9710-19B7FF51EE22}"/>
    <cellStyle name="Normal 8 3 2 2 2 4 4" xfId="10316" xr:uid="{1903332F-D51C-472B-BBF0-A2A31456B9BD}"/>
    <cellStyle name="Normal 8 3 2 2 2 4 5" xfId="18745" xr:uid="{C8657609-9642-4A68-A4F7-E1D52FE9C53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92" xr:uid="{F7EE3E3D-0D7D-49D5-9D5D-534315D2A91D}"/>
    <cellStyle name="Normal 8 3 2 2 2 5 2 2 3" xfId="25520" xr:uid="{CBE3C4C0-CA71-4186-B123-D3F137427C47}"/>
    <cellStyle name="Normal 8 3 2 2 2 5 2 3" xfId="12874" xr:uid="{AF157C95-0853-49DF-A350-2AEBDA34B466}"/>
    <cellStyle name="Normal 8 3 2 2 2 5 2 4" xfId="21303" xr:uid="{0D463F69-8C2C-40E9-9778-E0E36EC6223F}"/>
    <cellStyle name="Normal 8 3 2 2 2 5 3" xfId="6518" xr:uid="{00000000-0005-0000-0000-0000421D0000}"/>
    <cellStyle name="Normal 8 3 2 2 2 5 3 2" xfId="14947" xr:uid="{A7FE8B68-B349-4E41-9C6F-0E0517515795}"/>
    <cellStyle name="Normal 8 3 2 2 2 5 3 3" xfId="23375" xr:uid="{B06E6795-5BB7-4066-B87C-14FFD0EB1285}"/>
    <cellStyle name="Normal 8 3 2 2 2 5 4" xfId="10729" xr:uid="{5AEB1118-27CB-45E1-B881-C456AFD9C984}"/>
    <cellStyle name="Normal 8 3 2 2 2 5 5" xfId="19158" xr:uid="{D333FBF3-7E5F-4847-8B40-BA3511DB3C27}"/>
    <cellStyle name="Normal 8 3 2 2 2 6" xfId="2646" xr:uid="{00000000-0005-0000-0000-0000431D0000}"/>
    <cellStyle name="Normal 8 3 2 2 2 6 2" xfId="6931" xr:uid="{00000000-0005-0000-0000-0000441D0000}"/>
    <cellStyle name="Normal 8 3 2 2 2 6 2 2" xfId="15360" xr:uid="{937E1B7A-C13E-4E89-AFF9-86331E1FB53C}"/>
    <cellStyle name="Normal 8 3 2 2 2 6 2 3" xfId="23788" xr:uid="{EDF82BE0-C8AF-42C0-9F5D-DF1321916F7F}"/>
    <cellStyle name="Normal 8 3 2 2 2 6 3" xfId="11142" xr:uid="{213D8776-22BA-4E35-9CDA-894E24E1AF19}"/>
    <cellStyle name="Normal 8 3 2 2 2 6 4" xfId="19571" xr:uid="{43DB5BDF-F4B1-4E5E-B5D8-53AF3B53E2A6}"/>
    <cellStyle name="Normal 8 3 2 2 2 7" xfId="4866" xr:uid="{00000000-0005-0000-0000-0000451D0000}"/>
    <cellStyle name="Normal 8 3 2 2 2 7 2" xfId="13295" xr:uid="{DC34364C-BAFB-4918-903B-7C0894B432E4}"/>
    <cellStyle name="Normal 8 3 2 2 2 7 3" xfId="21723" xr:uid="{E2A0DB88-8577-4BCA-AAD4-C3DC90F57462}"/>
    <cellStyle name="Normal 8 3 2 2 2 8" xfId="9077" xr:uid="{1827B40A-1E41-4CD6-80A7-E42C04E3871C}"/>
    <cellStyle name="Normal 8 3 2 2 2 9" xfId="17506" xr:uid="{A82C94E8-64EA-43D9-BCAC-8CF2236174F1}"/>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52" xr:uid="{F719F554-37B9-4F2E-A06C-F19B1B554E90}"/>
    <cellStyle name="Normal 8 3 2 2 3 2 2 3" xfId="24280" xr:uid="{01FB67C6-81A7-492F-A9B7-8825D21E587A}"/>
    <cellStyle name="Normal 8 3 2 2 3 2 3" xfId="11634" xr:uid="{FB080370-1987-4ABB-A450-6BB5049CDA2F}"/>
    <cellStyle name="Normal 8 3 2 2 3 2 4" xfId="20063" xr:uid="{5B2786C8-DEE1-449F-8DAB-B98D7FEFD55D}"/>
    <cellStyle name="Normal 8 3 2 2 3 3" xfId="5278" xr:uid="{00000000-0005-0000-0000-0000491D0000}"/>
    <cellStyle name="Normal 8 3 2 2 3 3 2" xfId="13707" xr:uid="{08649379-270F-4487-B75E-63ECDC71C009}"/>
    <cellStyle name="Normal 8 3 2 2 3 3 3" xfId="22135" xr:uid="{2D787BE0-688A-464D-AB50-68E628FC82D4}"/>
    <cellStyle name="Normal 8 3 2 2 3 4" xfId="9489" xr:uid="{70755984-0CCB-4056-BBA6-A26725C3438A}"/>
    <cellStyle name="Normal 8 3 2 2 3 5" xfId="17918" xr:uid="{9D4E1281-E564-4C36-AC67-09C16A0B80AF}"/>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65" xr:uid="{89A9466C-4C26-44AC-8841-B42627C15DDA}"/>
    <cellStyle name="Normal 8 3 2 2 4 2 2 3" xfId="24693" xr:uid="{765BD4A0-C05A-4C00-A8DC-90E4EF56391A}"/>
    <cellStyle name="Normal 8 3 2 2 4 2 3" xfId="12047" xr:uid="{94CA583C-AE0E-4978-BA5C-6C916BD98CAA}"/>
    <cellStyle name="Normal 8 3 2 2 4 2 4" xfId="20476" xr:uid="{1E884560-E302-4B84-A165-DDE0C7F26460}"/>
    <cellStyle name="Normal 8 3 2 2 4 3" xfId="5691" xr:uid="{00000000-0005-0000-0000-00004D1D0000}"/>
    <cellStyle name="Normal 8 3 2 2 4 3 2" xfId="14120" xr:uid="{4D7ECAB9-91B4-45B4-9857-5DA07BAC2FEC}"/>
    <cellStyle name="Normal 8 3 2 2 4 3 3" xfId="22548" xr:uid="{E6F8F89D-4427-41DD-B939-3AA2ABE292FF}"/>
    <cellStyle name="Normal 8 3 2 2 4 4" xfId="9902" xr:uid="{A027DB40-37BB-4125-990D-2C20BE0BDE2D}"/>
    <cellStyle name="Normal 8 3 2 2 4 5" xfId="18331" xr:uid="{48C6841C-11FB-45C6-AF2E-5A7E239E874D}"/>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8" xr:uid="{BF7D9A6D-5C08-4AAC-B690-110F91CA5261}"/>
    <cellStyle name="Normal 8 3 2 2 5 2 2 3" xfId="25106" xr:uid="{017D302D-6D70-453B-A708-3F290973CFD2}"/>
    <cellStyle name="Normal 8 3 2 2 5 2 3" xfId="12460" xr:uid="{2C6FE08C-4AA9-4F60-A72F-A4A1A48353ED}"/>
    <cellStyle name="Normal 8 3 2 2 5 2 4" xfId="20889" xr:uid="{6A8CA50A-A4B7-41DF-8DD0-441D8CD1403E}"/>
    <cellStyle name="Normal 8 3 2 2 5 3" xfId="6104" xr:uid="{00000000-0005-0000-0000-0000511D0000}"/>
    <cellStyle name="Normal 8 3 2 2 5 3 2" xfId="14533" xr:uid="{A8D4FE21-FEA8-4734-AC9E-714A3B344015}"/>
    <cellStyle name="Normal 8 3 2 2 5 3 3" xfId="22961" xr:uid="{893E69A2-7964-46F2-A6DD-946BF4283E57}"/>
    <cellStyle name="Normal 8 3 2 2 5 4" xfId="10315" xr:uid="{DE7A8FA8-BEBB-4209-A485-C18F575B81F7}"/>
    <cellStyle name="Normal 8 3 2 2 5 5" xfId="18744" xr:uid="{D08DC502-AD4A-4F47-B375-144D87774A50}"/>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91" xr:uid="{F063AFBB-6D19-400A-A8FA-065CF03CC6F9}"/>
    <cellStyle name="Normal 8 3 2 2 6 2 2 3" xfId="25519" xr:uid="{B1CAAAAC-8186-43D9-BDD8-1A6D208B54AA}"/>
    <cellStyle name="Normal 8 3 2 2 6 2 3" xfId="12873" xr:uid="{11294806-BF74-4692-AC3B-495206585A5C}"/>
    <cellStyle name="Normal 8 3 2 2 6 2 4" xfId="21302" xr:uid="{FFB8E290-C967-4129-B33A-71479B3E117C}"/>
    <cellStyle name="Normal 8 3 2 2 6 3" xfId="6517" xr:uid="{00000000-0005-0000-0000-0000551D0000}"/>
    <cellStyle name="Normal 8 3 2 2 6 3 2" xfId="14946" xr:uid="{B33CA6E6-39C3-4455-8292-118D12E18E89}"/>
    <cellStyle name="Normal 8 3 2 2 6 3 3" xfId="23374" xr:uid="{E074EB83-D6D8-461D-AF3D-F98EFB378230}"/>
    <cellStyle name="Normal 8 3 2 2 6 4" xfId="10728" xr:uid="{9504C934-13FE-4630-B0B8-13DEDB234B35}"/>
    <cellStyle name="Normal 8 3 2 2 6 5" xfId="19157" xr:uid="{FD3C808C-7149-4BDF-A70E-43956F06122B}"/>
    <cellStyle name="Normal 8 3 2 2 7" xfId="2645" xr:uid="{00000000-0005-0000-0000-0000561D0000}"/>
    <cellStyle name="Normal 8 3 2 2 7 2" xfId="6930" xr:uid="{00000000-0005-0000-0000-0000571D0000}"/>
    <cellStyle name="Normal 8 3 2 2 7 2 2" xfId="15359" xr:uid="{A69ACF0F-FE5D-49CF-B92A-8372989DF987}"/>
    <cellStyle name="Normal 8 3 2 2 7 2 3" xfId="23787" xr:uid="{EF32EEC0-5742-4135-8AE4-5FE1BDF0BACA}"/>
    <cellStyle name="Normal 8 3 2 2 7 3" xfId="11141" xr:uid="{2312951E-3169-4886-8184-57C0273B7D23}"/>
    <cellStyle name="Normal 8 3 2 2 7 4" xfId="19570" xr:uid="{25346FFD-4226-43B0-BDFF-DF8B9DCD990C}"/>
    <cellStyle name="Normal 8 3 2 2 8" xfId="4865" xr:uid="{00000000-0005-0000-0000-0000581D0000}"/>
    <cellStyle name="Normal 8 3 2 2 8 2" xfId="13294" xr:uid="{3C44D009-5FE0-496D-80B2-5BCF9649A7F7}"/>
    <cellStyle name="Normal 8 3 2 2 8 3" xfId="21722" xr:uid="{6B7C0782-F18D-4775-9A92-38C35C2C86C1}"/>
    <cellStyle name="Normal 8 3 2 2 9" xfId="9076" xr:uid="{396248DE-5132-47AC-AD76-CB631C1EA242}"/>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54" xr:uid="{B6D0A2E5-834E-4055-81C7-7B9990E0C414}"/>
    <cellStyle name="Normal 8 3 2 3 2 2 2 3" xfId="24282" xr:uid="{6031FAB7-753E-4291-B664-C1AA89E3D49A}"/>
    <cellStyle name="Normal 8 3 2 3 2 2 3" xfId="11636" xr:uid="{71B754B0-AD01-4800-98E9-D9CB51E7071A}"/>
    <cellStyle name="Normal 8 3 2 3 2 2 4" xfId="20065" xr:uid="{C6090C08-0D39-4177-90D1-DCC18968DCC6}"/>
    <cellStyle name="Normal 8 3 2 3 2 3" xfId="5280" xr:uid="{00000000-0005-0000-0000-00005D1D0000}"/>
    <cellStyle name="Normal 8 3 2 3 2 3 2" xfId="13709" xr:uid="{45772F5F-6196-489D-A32E-EA00CE6FE7EE}"/>
    <cellStyle name="Normal 8 3 2 3 2 3 3" xfId="22137" xr:uid="{A6FD5EC2-1FA9-48B2-84E1-6E7A175DCB18}"/>
    <cellStyle name="Normal 8 3 2 3 2 4" xfId="9491" xr:uid="{01C9954C-0FCA-411F-9F82-493AFA3B2F32}"/>
    <cellStyle name="Normal 8 3 2 3 2 5" xfId="17920" xr:uid="{E9DA0E80-1899-47BC-B0BE-CDBA18459DF1}"/>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7" xr:uid="{B416EC6E-8BE3-4CEB-85E4-6505508DFFD3}"/>
    <cellStyle name="Normal 8 3 2 3 3 2 2 3" xfId="24695" xr:uid="{DC6DE290-6D80-406E-867E-E84BD68884C0}"/>
    <cellStyle name="Normal 8 3 2 3 3 2 3" xfId="12049" xr:uid="{3FCD136D-7AF8-4F4F-B47F-D8869FB2A75B}"/>
    <cellStyle name="Normal 8 3 2 3 3 2 4" xfId="20478" xr:uid="{FF9E7261-01CB-4EBA-BD3D-A98D24951DBA}"/>
    <cellStyle name="Normal 8 3 2 3 3 3" xfId="5693" xr:uid="{00000000-0005-0000-0000-0000611D0000}"/>
    <cellStyle name="Normal 8 3 2 3 3 3 2" xfId="14122" xr:uid="{B409464B-00D1-4784-8B4A-FEFB52A5379B}"/>
    <cellStyle name="Normal 8 3 2 3 3 3 3" xfId="22550" xr:uid="{F32AB98D-265F-483C-9677-CCBE75B29C5C}"/>
    <cellStyle name="Normal 8 3 2 3 3 4" xfId="9904" xr:uid="{ECC7C05C-4C3A-4611-96F8-CE0939DFE0A6}"/>
    <cellStyle name="Normal 8 3 2 3 3 5" xfId="18333" xr:uid="{13857DA1-E161-4D1E-B965-EE7BB8CE146F}"/>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80" xr:uid="{DF831162-0BE6-4908-8F30-A1A99840F457}"/>
    <cellStyle name="Normal 8 3 2 3 4 2 2 3" xfId="25108" xr:uid="{BCFE23FC-A44E-417D-B440-3F4D60259C8F}"/>
    <cellStyle name="Normal 8 3 2 3 4 2 3" xfId="12462" xr:uid="{F635B397-764F-4ECA-A382-00755A1B0F42}"/>
    <cellStyle name="Normal 8 3 2 3 4 2 4" xfId="20891" xr:uid="{EF374375-23DF-4E3B-B007-3326EFA734FE}"/>
    <cellStyle name="Normal 8 3 2 3 4 3" xfId="6106" xr:uid="{00000000-0005-0000-0000-0000651D0000}"/>
    <cellStyle name="Normal 8 3 2 3 4 3 2" xfId="14535" xr:uid="{E786BF2E-EEE9-4F66-BA5B-4449EC4BCAE9}"/>
    <cellStyle name="Normal 8 3 2 3 4 3 3" xfId="22963" xr:uid="{D0837C34-36B7-4687-8E30-5915143DA169}"/>
    <cellStyle name="Normal 8 3 2 3 4 4" xfId="10317" xr:uid="{C4B58DA8-FAAA-4BFB-9489-984D25DBFDE5}"/>
    <cellStyle name="Normal 8 3 2 3 4 5" xfId="18746" xr:uid="{5910D1F8-88A6-4959-ADE5-49926B53FE56}"/>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93" xr:uid="{5B2BD93D-79F1-4E3F-B15B-7A24C055D85D}"/>
    <cellStyle name="Normal 8 3 2 3 5 2 2 3" xfId="25521" xr:uid="{D7361756-E9C1-42ED-8972-20B69D300B87}"/>
    <cellStyle name="Normal 8 3 2 3 5 2 3" xfId="12875" xr:uid="{88676595-12EE-4E44-A293-105E291973DA}"/>
    <cellStyle name="Normal 8 3 2 3 5 2 4" xfId="21304" xr:uid="{0EF71E8F-BC40-484B-BCD6-4D6FCC3DE88F}"/>
    <cellStyle name="Normal 8 3 2 3 5 3" xfId="6519" xr:uid="{00000000-0005-0000-0000-0000691D0000}"/>
    <cellStyle name="Normal 8 3 2 3 5 3 2" xfId="14948" xr:uid="{463BE3A5-A4F8-4A96-B959-D061F02E48F1}"/>
    <cellStyle name="Normal 8 3 2 3 5 3 3" xfId="23376" xr:uid="{2455F1CC-C23B-4625-869E-2F0CABD87207}"/>
    <cellStyle name="Normal 8 3 2 3 5 4" xfId="10730" xr:uid="{433E16D5-EA75-42B4-B2ED-581A17F2DC55}"/>
    <cellStyle name="Normal 8 3 2 3 5 5" xfId="19159" xr:uid="{039DE36F-6CD8-45FA-9494-9679697C85FF}"/>
    <cellStyle name="Normal 8 3 2 3 6" xfId="2647" xr:uid="{00000000-0005-0000-0000-00006A1D0000}"/>
    <cellStyle name="Normal 8 3 2 3 6 2" xfId="6932" xr:uid="{00000000-0005-0000-0000-00006B1D0000}"/>
    <cellStyle name="Normal 8 3 2 3 6 2 2" xfId="15361" xr:uid="{ADF839B0-7E89-4815-AAB3-9AEA25390AB0}"/>
    <cellStyle name="Normal 8 3 2 3 6 2 3" xfId="23789" xr:uid="{8DEAD108-AC31-40A7-A66A-F967B80211BD}"/>
    <cellStyle name="Normal 8 3 2 3 6 3" xfId="11143" xr:uid="{1BA0A674-18CA-485D-A8AB-AAA2EFC1461C}"/>
    <cellStyle name="Normal 8 3 2 3 6 4" xfId="19572" xr:uid="{EC2D3C73-971D-4938-A324-1D8A53BA5253}"/>
    <cellStyle name="Normal 8 3 2 3 7" xfId="4867" xr:uid="{00000000-0005-0000-0000-00006C1D0000}"/>
    <cellStyle name="Normal 8 3 2 3 7 2" xfId="13296" xr:uid="{267F285E-755E-46B5-9826-A08709C7F34C}"/>
    <cellStyle name="Normal 8 3 2 3 7 3" xfId="21724" xr:uid="{0EEC6A49-3B11-4A42-8CBB-13D5D3BB7D1C}"/>
    <cellStyle name="Normal 8 3 2 3 8" xfId="9078" xr:uid="{252F1B90-F23E-455F-AA7C-CB7474727884}"/>
    <cellStyle name="Normal 8 3 2 3 9" xfId="17507" xr:uid="{4A6C36F1-0F5B-47AF-B7ED-8AFC1BF2C2AD}"/>
    <cellStyle name="Normal 8 3 2 4" xfId="964" xr:uid="{00000000-0005-0000-0000-00006D1D0000}"/>
    <cellStyle name="Normal 8 3 2 4 2" xfId="3198" xr:uid="{00000000-0005-0000-0000-00006E1D0000}"/>
    <cellStyle name="Normal 8 3 2 4 2 2" xfId="7422" xr:uid="{00000000-0005-0000-0000-00006F1D0000}"/>
    <cellStyle name="Normal 8 3 2 4 2 2 2" xfId="15851" xr:uid="{F1BD94AF-61B9-4368-A13F-8BBA48FCE970}"/>
    <cellStyle name="Normal 8 3 2 4 2 2 3" xfId="24279" xr:uid="{F926D1C7-FA70-4082-9F8B-F4F5CAEA8135}"/>
    <cellStyle name="Normal 8 3 2 4 2 3" xfId="11633" xr:uid="{06ADAE5F-01AB-4769-A38D-20F400867B6A}"/>
    <cellStyle name="Normal 8 3 2 4 2 4" xfId="20062" xr:uid="{22F1C699-34D9-4A00-9F7C-9C10905E5B14}"/>
    <cellStyle name="Normal 8 3 2 4 3" xfId="5277" xr:uid="{00000000-0005-0000-0000-0000701D0000}"/>
    <cellStyle name="Normal 8 3 2 4 3 2" xfId="13706" xr:uid="{1213909C-0FA1-47D4-B72E-D1F8B828B278}"/>
    <cellStyle name="Normal 8 3 2 4 3 3" xfId="22134" xr:uid="{97D18952-6CC0-496E-A88B-89464395AB08}"/>
    <cellStyle name="Normal 8 3 2 4 4" xfId="9488" xr:uid="{78A30D87-F27A-4E34-A683-A87D0FD6A1A7}"/>
    <cellStyle name="Normal 8 3 2 4 5" xfId="17917" xr:uid="{265E0937-2259-459E-9DA2-F9DA07165887}"/>
    <cellStyle name="Normal 8 3 2 5" xfId="1381" xr:uid="{00000000-0005-0000-0000-0000711D0000}"/>
    <cellStyle name="Normal 8 3 2 5 2" xfId="3611" xr:uid="{00000000-0005-0000-0000-0000721D0000}"/>
    <cellStyle name="Normal 8 3 2 5 2 2" xfId="7835" xr:uid="{00000000-0005-0000-0000-0000731D0000}"/>
    <cellStyle name="Normal 8 3 2 5 2 2 2" xfId="16264" xr:uid="{75B82301-8200-402B-9094-8ACA2F08479F}"/>
    <cellStyle name="Normal 8 3 2 5 2 2 3" xfId="24692" xr:uid="{DF98D467-66D4-4564-89E4-12C794A24387}"/>
    <cellStyle name="Normal 8 3 2 5 2 3" xfId="12046" xr:uid="{1AFC8E20-9F3D-4EC7-BA7D-4847B65C0516}"/>
    <cellStyle name="Normal 8 3 2 5 2 4" xfId="20475" xr:uid="{9272D497-0518-4070-AAE1-30D939988BF5}"/>
    <cellStyle name="Normal 8 3 2 5 3" xfId="5690" xr:uid="{00000000-0005-0000-0000-0000741D0000}"/>
    <cellStyle name="Normal 8 3 2 5 3 2" xfId="14119" xr:uid="{D48AD40D-ACFC-450F-B6B5-173E80963E40}"/>
    <cellStyle name="Normal 8 3 2 5 3 3" xfId="22547" xr:uid="{74B7F4DB-81C7-48B2-A0CD-F16E859EB83A}"/>
    <cellStyle name="Normal 8 3 2 5 4" xfId="9901" xr:uid="{8EE289D9-AD6B-4A66-8670-0BD8FF227689}"/>
    <cellStyle name="Normal 8 3 2 5 5" xfId="18330" xr:uid="{73DBA237-D11C-4148-8B35-1B6E6E62B9EE}"/>
    <cellStyle name="Normal 8 3 2 6" xfId="1794" xr:uid="{00000000-0005-0000-0000-0000751D0000}"/>
    <cellStyle name="Normal 8 3 2 6 2" xfId="4024" xr:uid="{00000000-0005-0000-0000-0000761D0000}"/>
    <cellStyle name="Normal 8 3 2 6 2 2" xfId="8248" xr:uid="{00000000-0005-0000-0000-0000771D0000}"/>
    <cellStyle name="Normal 8 3 2 6 2 2 2" xfId="16677" xr:uid="{8A61A4C0-98D2-460F-8A35-9555922A9B4F}"/>
    <cellStyle name="Normal 8 3 2 6 2 2 3" xfId="25105" xr:uid="{A2A4C1D2-4038-4531-AE02-D462B7EE025B}"/>
    <cellStyle name="Normal 8 3 2 6 2 3" xfId="12459" xr:uid="{1C177472-4F3A-466A-A237-341153852F24}"/>
    <cellStyle name="Normal 8 3 2 6 2 4" xfId="20888" xr:uid="{E02A06A2-16B2-45DC-8B59-E2EEC768298D}"/>
    <cellStyle name="Normal 8 3 2 6 3" xfId="6103" xr:uid="{00000000-0005-0000-0000-0000781D0000}"/>
    <cellStyle name="Normal 8 3 2 6 3 2" xfId="14532" xr:uid="{1F83FB6C-B5E3-42F1-884B-ACC358263D12}"/>
    <cellStyle name="Normal 8 3 2 6 3 3" xfId="22960" xr:uid="{A48C8A01-D95F-4851-803D-DBD7A8DA3C47}"/>
    <cellStyle name="Normal 8 3 2 6 4" xfId="10314" xr:uid="{D92D233A-190B-43F1-A5C8-D2E0A9EF27E6}"/>
    <cellStyle name="Normal 8 3 2 6 5" xfId="18743" xr:uid="{4636D0C9-E301-437F-99E0-9525087E31C9}"/>
    <cellStyle name="Normal 8 3 2 7" xfId="2208" xr:uid="{00000000-0005-0000-0000-0000791D0000}"/>
    <cellStyle name="Normal 8 3 2 7 2" xfId="4437" xr:uid="{00000000-0005-0000-0000-00007A1D0000}"/>
    <cellStyle name="Normal 8 3 2 7 2 2" xfId="8661" xr:uid="{00000000-0005-0000-0000-00007B1D0000}"/>
    <cellStyle name="Normal 8 3 2 7 2 2 2" xfId="17090" xr:uid="{4EA4D11E-EFA8-4C83-B431-27F59E48733F}"/>
    <cellStyle name="Normal 8 3 2 7 2 2 3" xfId="25518" xr:uid="{50AEE0B8-E415-4D74-BBCD-D9960C597A93}"/>
    <cellStyle name="Normal 8 3 2 7 2 3" xfId="12872" xr:uid="{AC1978EF-1E41-4680-B455-13B212DA22B3}"/>
    <cellStyle name="Normal 8 3 2 7 2 4" xfId="21301" xr:uid="{755E66D7-BADD-4505-A2F6-FF2A424F198F}"/>
    <cellStyle name="Normal 8 3 2 7 3" xfId="6516" xr:uid="{00000000-0005-0000-0000-00007C1D0000}"/>
    <cellStyle name="Normal 8 3 2 7 3 2" xfId="14945" xr:uid="{1F3A723D-BF3A-4F1E-9333-2473011A03CB}"/>
    <cellStyle name="Normal 8 3 2 7 3 3" xfId="23373" xr:uid="{00B495CF-12F2-44E5-9CE5-0E0A2F1104E1}"/>
    <cellStyle name="Normal 8 3 2 7 4" xfId="10727" xr:uid="{6939F5C5-9EBE-4302-AC06-1B4AE19B036D}"/>
    <cellStyle name="Normal 8 3 2 7 5" xfId="19156" xr:uid="{6E588036-D8DE-46EF-9408-DD889F240F50}"/>
    <cellStyle name="Normal 8 3 2 8" xfId="2644" xr:uid="{00000000-0005-0000-0000-00007D1D0000}"/>
    <cellStyle name="Normal 8 3 2 8 2" xfId="6929" xr:uid="{00000000-0005-0000-0000-00007E1D0000}"/>
    <cellStyle name="Normal 8 3 2 8 2 2" xfId="15358" xr:uid="{21DA8C1C-C525-4D1A-9406-5ADB875DCEE5}"/>
    <cellStyle name="Normal 8 3 2 8 2 3" xfId="23786" xr:uid="{402CD1B3-B9F3-44B8-8905-FA347628CDD5}"/>
    <cellStyle name="Normal 8 3 2 8 3" xfId="11140" xr:uid="{6FBD40C6-8B01-4655-8E9B-D096F480F353}"/>
    <cellStyle name="Normal 8 3 2 8 4" xfId="19569" xr:uid="{4441AD3E-DF47-4357-AF49-2722D347EF21}"/>
    <cellStyle name="Normal 8 3 2 9" xfId="4864" xr:uid="{00000000-0005-0000-0000-00007F1D0000}"/>
    <cellStyle name="Normal 8 3 2 9 2" xfId="13293" xr:uid="{6759B88D-3C36-4351-802F-B4188FFB1DB6}"/>
    <cellStyle name="Normal 8 3 2 9 3" xfId="21721" xr:uid="{9E634359-E15D-4BDA-A718-8067560F0D33}"/>
    <cellStyle name="Normal 8 3 3" xfId="500" xr:uid="{00000000-0005-0000-0000-0000801D0000}"/>
    <cellStyle name="Normal 8 3 3 10" xfId="17508" xr:uid="{093F8200-8624-4E80-9D08-391079EDE1BF}"/>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56" xr:uid="{38B2D0B3-7714-43B6-98B8-82FAB3579F94}"/>
    <cellStyle name="Normal 8 3 3 2 2 2 2 3" xfId="24284" xr:uid="{FE07C679-B179-45A4-BE95-500A6BE90312}"/>
    <cellStyle name="Normal 8 3 3 2 2 2 3" xfId="11638" xr:uid="{25C83CD9-C409-44AC-BA1E-72218E5ADF1C}"/>
    <cellStyle name="Normal 8 3 3 2 2 2 4" xfId="20067" xr:uid="{9EC13084-DFCA-4590-8504-E97185F98607}"/>
    <cellStyle name="Normal 8 3 3 2 2 3" xfId="5282" xr:uid="{00000000-0005-0000-0000-0000851D0000}"/>
    <cellStyle name="Normal 8 3 3 2 2 3 2" xfId="13711" xr:uid="{E8CA7335-6B60-4E53-BC0E-B5CB4F5FC8F7}"/>
    <cellStyle name="Normal 8 3 3 2 2 3 3" xfId="22139" xr:uid="{C073FB02-F6B2-42AD-B94A-B3545B3AD0F3}"/>
    <cellStyle name="Normal 8 3 3 2 2 4" xfId="9493" xr:uid="{194F99AF-411A-4429-889C-D4D477D72C49}"/>
    <cellStyle name="Normal 8 3 3 2 2 5" xfId="17922" xr:uid="{51B3CE1B-816C-4FF3-AD0A-482F281CCAD9}"/>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9" xr:uid="{C96E9BFD-5A1A-4876-AD81-CB244130A73A}"/>
    <cellStyle name="Normal 8 3 3 2 3 2 2 3" xfId="24697" xr:uid="{1FB25144-2EE2-4C20-B757-E4DECDCE0964}"/>
    <cellStyle name="Normal 8 3 3 2 3 2 3" xfId="12051" xr:uid="{34D7B696-2412-49AF-B3BE-CBECD1605101}"/>
    <cellStyle name="Normal 8 3 3 2 3 2 4" xfId="20480" xr:uid="{2D7D33FB-0DD7-4A30-A502-E6EDA0F8F2D5}"/>
    <cellStyle name="Normal 8 3 3 2 3 3" xfId="5695" xr:uid="{00000000-0005-0000-0000-0000891D0000}"/>
    <cellStyle name="Normal 8 3 3 2 3 3 2" xfId="14124" xr:uid="{8F535BDF-F42D-4E11-979D-129E1C95E04A}"/>
    <cellStyle name="Normal 8 3 3 2 3 3 3" xfId="22552" xr:uid="{576E2D47-77D4-4957-AF35-F14E2D0D362A}"/>
    <cellStyle name="Normal 8 3 3 2 3 4" xfId="9906" xr:uid="{F11F59E2-496D-4122-82BA-EAC70F9DBC07}"/>
    <cellStyle name="Normal 8 3 3 2 3 5" xfId="18335" xr:uid="{2D9AEA04-A72F-45D8-AEB1-CEB06802FCC8}"/>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82" xr:uid="{1AD879A5-DDBE-4C23-9DBC-95FE1BE469FD}"/>
    <cellStyle name="Normal 8 3 3 2 4 2 2 3" xfId="25110" xr:uid="{DD63B1CB-1BA8-4C85-BC5B-7B62F87399A3}"/>
    <cellStyle name="Normal 8 3 3 2 4 2 3" xfId="12464" xr:uid="{4BC1F8ED-2341-4A8D-9A95-37B70F0E267B}"/>
    <cellStyle name="Normal 8 3 3 2 4 2 4" xfId="20893" xr:uid="{66600F69-ADF4-4D9C-BA72-197F4C2FD6CA}"/>
    <cellStyle name="Normal 8 3 3 2 4 3" xfId="6108" xr:uid="{00000000-0005-0000-0000-00008D1D0000}"/>
    <cellStyle name="Normal 8 3 3 2 4 3 2" xfId="14537" xr:uid="{F9032DC0-F028-4FBA-AF3C-BCC155C946D3}"/>
    <cellStyle name="Normal 8 3 3 2 4 3 3" xfId="22965" xr:uid="{0C267E12-9553-4200-AED0-96BAEF854EAB}"/>
    <cellStyle name="Normal 8 3 3 2 4 4" xfId="10319" xr:uid="{07915FAE-C5B0-45BD-AAA2-25771EBFE2B0}"/>
    <cellStyle name="Normal 8 3 3 2 4 5" xfId="18748" xr:uid="{F50EDF70-772A-4500-AB94-29F2563245CB}"/>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95" xr:uid="{FA09F02C-A7C7-412B-A163-8DBEE6E274A1}"/>
    <cellStyle name="Normal 8 3 3 2 5 2 2 3" xfId="25523" xr:uid="{C754490B-5687-4E94-B47F-B427DF239FD0}"/>
    <cellStyle name="Normal 8 3 3 2 5 2 3" xfId="12877" xr:uid="{B9D50289-5256-4D4F-AC56-431B8644ABFA}"/>
    <cellStyle name="Normal 8 3 3 2 5 2 4" xfId="21306" xr:uid="{44652097-7C4A-4CAC-AC42-9A5B07F1D477}"/>
    <cellStyle name="Normal 8 3 3 2 5 3" xfId="6521" xr:uid="{00000000-0005-0000-0000-0000911D0000}"/>
    <cellStyle name="Normal 8 3 3 2 5 3 2" xfId="14950" xr:uid="{8EC1E3A4-46BB-469D-A42F-C5D96FCF3DAB}"/>
    <cellStyle name="Normal 8 3 3 2 5 3 3" xfId="23378" xr:uid="{A39037CF-1A0D-4C33-8B09-85DB649AF6DA}"/>
    <cellStyle name="Normal 8 3 3 2 5 4" xfId="10732" xr:uid="{CDD8D559-7989-4E6C-B1CA-E96055FC2C9D}"/>
    <cellStyle name="Normal 8 3 3 2 5 5" xfId="19161" xr:uid="{235971D2-D728-4C0E-8BD7-119CB77BB8A3}"/>
    <cellStyle name="Normal 8 3 3 2 6" xfId="2649" xr:uid="{00000000-0005-0000-0000-0000921D0000}"/>
    <cellStyle name="Normal 8 3 3 2 6 2" xfId="6934" xr:uid="{00000000-0005-0000-0000-0000931D0000}"/>
    <cellStyle name="Normal 8 3 3 2 6 2 2" xfId="15363" xr:uid="{DF181E9D-2EB7-4409-98D0-623D00969368}"/>
    <cellStyle name="Normal 8 3 3 2 6 2 3" xfId="23791" xr:uid="{FB2A1430-7899-4AC1-A7F2-37E418853BEF}"/>
    <cellStyle name="Normal 8 3 3 2 6 3" xfId="11145" xr:uid="{BC388E5E-C777-44D7-B970-BF1B23F81CAB}"/>
    <cellStyle name="Normal 8 3 3 2 6 4" xfId="19574" xr:uid="{3791EEAD-EEE9-49C8-932D-8F2865B705CF}"/>
    <cellStyle name="Normal 8 3 3 2 7" xfId="4869" xr:uid="{00000000-0005-0000-0000-0000941D0000}"/>
    <cellStyle name="Normal 8 3 3 2 7 2" xfId="13298" xr:uid="{89954485-61EB-4566-8653-AECA3323DCD3}"/>
    <cellStyle name="Normal 8 3 3 2 7 3" xfId="21726" xr:uid="{3AFDD8DE-BEE8-4BFD-AD0D-F332F92E81D1}"/>
    <cellStyle name="Normal 8 3 3 2 8" xfId="9080" xr:uid="{891BC2BA-DAE7-476D-9FDA-2698B10E0FB5}"/>
    <cellStyle name="Normal 8 3 3 2 9" xfId="17509" xr:uid="{DE00F083-E426-4364-B68A-89AD18AC8750}"/>
    <cellStyle name="Normal 8 3 3 3" xfId="968" xr:uid="{00000000-0005-0000-0000-0000951D0000}"/>
    <cellStyle name="Normal 8 3 3 3 2" xfId="3202" xr:uid="{00000000-0005-0000-0000-0000961D0000}"/>
    <cellStyle name="Normal 8 3 3 3 2 2" xfId="7426" xr:uid="{00000000-0005-0000-0000-0000971D0000}"/>
    <cellStyle name="Normal 8 3 3 3 2 2 2" xfId="15855" xr:uid="{F7965468-4AEA-4B0D-AD7A-DCCC85859CCB}"/>
    <cellStyle name="Normal 8 3 3 3 2 2 3" xfId="24283" xr:uid="{B232EDAD-7AE3-44C4-9014-4963410A2E74}"/>
    <cellStyle name="Normal 8 3 3 3 2 3" xfId="11637" xr:uid="{C2CB5F77-D642-4AB1-BC43-74F62D624204}"/>
    <cellStyle name="Normal 8 3 3 3 2 4" xfId="20066" xr:uid="{5A4004A0-44D7-4B67-BE75-0BD9DD2A455B}"/>
    <cellStyle name="Normal 8 3 3 3 3" xfId="5281" xr:uid="{00000000-0005-0000-0000-0000981D0000}"/>
    <cellStyle name="Normal 8 3 3 3 3 2" xfId="13710" xr:uid="{A40DCFFF-87AF-4E6E-91B7-AA73B5D85474}"/>
    <cellStyle name="Normal 8 3 3 3 3 3" xfId="22138" xr:uid="{FDA88D9A-5EEB-4F05-AD9F-A87544FFC152}"/>
    <cellStyle name="Normal 8 3 3 3 4" xfId="9492" xr:uid="{ADF92C4F-226F-4918-9ACC-1A93862F2B95}"/>
    <cellStyle name="Normal 8 3 3 3 5" xfId="17921" xr:uid="{F8A49A8F-7304-4943-8BBE-30DE4DB0F982}"/>
    <cellStyle name="Normal 8 3 3 4" xfId="1385" xr:uid="{00000000-0005-0000-0000-0000991D0000}"/>
    <cellStyle name="Normal 8 3 3 4 2" xfId="3615" xr:uid="{00000000-0005-0000-0000-00009A1D0000}"/>
    <cellStyle name="Normal 8 3 3 4 2 2" xfId="7839" xr:uid="{00000000-0005-0000-0000-00009B1D0000}"/>
    <cellStyle name="Normal 8 3 3 4 2 2 2" xfId="16268" xr:uid="{BACCB288-A428-4DD6-8317-61453EFA7197}"/>
    <cellStyle name="Normal 8 3 3 4 2 2 3" xfId="24696" xr:uid="{B16525D4-3960-43D9-BF12-E1F1FA6659E8}"/>
    <cellStyle name="Normal 8 3 3 4 2 3" xfId="12050" xr:uid="{D95FC420-B271-4041-A4AB-F4AE7DFAC090}"/>
    <cellStyle name="Normal 8 3 3 4 2 4" xfId="20479" xr:uid="{F8A85717-3910-4D00-9884-351B93B0D477}"/>
    <cellStyle name="Normal 8 3 3 4 3" xfId="5694" xr:uid="{00000000-0005-0000-0000-00009C1D0000}"/>
    <cellStyle name="Normal 8 3 3 4 3 2" xfId="14123" xr:uid="{D61383CA-B660-40E0-B6CB-193301BCC974}"/>
    <cellStyle name="Normal 8 3 3 4 3 3" xfId="22551" xr:uid="{707B04C7-85F2-4B89-9B2B-D3346DE404B7}"/>
    <cellStyle name="Normal 8 3 3 4 4" xfId="9905" xr:uid="{C7144840-F8CE-4A17-B9E0-6520DA0CB546}"/>
    <cellStyle name="Normal 8 3 3 4 5" xfId="18334" xr:uid="{39FC9118-84A0-45FD-ADDF-15744583B909}"/>
    <cellStyle name="Normal 8 3 3 5" xfId="1798" xr:uid="{00000000-0005-0000-0000-00009D1D0000}"/>
    <cellStyle name="Normal 8 3 3 5 2" xfId="4028" xr:uid="{00000000-0005-0000-0000-00009E1D0000}"/>
    <cellStyle name="Normal 8 3 3 5 2 2" xfId="8252" xr:uid="{00000000-0005-0000-0000-00009F1D0000}"/>
    <cellStyle name="Normal 8 3 3 5 2 2 2" xfId="16681" xr:uid="{DB033A0B-71B9-4E92-A7D5-641D587152E1}"/>
    <cellStyle name="Normal 8 3 3 5 2 2 3" xfId="25109" xr:uid="{3672A07E-FFD8-4786-B598-991CD0BAC47C}"/>
    <cellStyle name="Normal 8 3 3 5 2 3" xfId="12463" xr:uid="{D4F81BCC-8E6C-437E-9BE2-9FD5C9067470}"/>
    <cellStyle name="Normal 8 3 3 5 2 4" xfId="20892" xr:uid="{C376FFB5-A730-487D-808B-18EE6458FB01}"/>
    <cellStyle name="Normal 8 3 3 5 3" xfId="6107" xr:uid="{00000000-0005-0000-0000-0000A01D0000}"/>
    <cellStyle name="Normal 8 3 3 5 3 2" xfId="14536" xr:uid="{8497595E-E2EF-489D-8848-750F356562D8}"/>
    <cellStyle name="Normal 8 3 3 5 3 3" xfId="22964" xr:uid="{DF605C7C-A41A-4DD7-BD92-26CA6A9885C0}"/>
    <cellStyle name="Normal 8 3 3 5 4" xfId="10318" xr:uid="{265B4D2B-F597-4638-BAEA-EEFED347EB10}"/>
    <cellStyle name="Normal 8 3 3 5 5" xfId="18747" xr:uid="{1B104B6D-FC4E-44BA-BA1A-6A2D2D911E7C}"/>
    <cellStyle name="Normal 8 3 3 6" xfId="2212" xr:uid="{00000000-0005-0000-0000-0000A11D0000}"/>
    <cellStyle name="Normal 8 3 3 6 2" xfId="4441" xr:uid="{00000000-0005-0000-0000-0000A21D0000}"/>
    <cellStyle name="Normal 8 3 3 6 2 2" xfId="8665" xr:uid="{00000000-0005-0000-0000-0000A31D0000}"/>
    <cellStyle name="Normal 8 3 3 6 2 2 2" xfId="17094" xr:uid="{8F820045-EC4F-436E-8F5C-6C4A73BD2067}"/>
    <cellStyle name="Normal 8 3 3 6 2 2 3" xfId="25522" xr:uid="{640F4B45-5773-4949-B441-3728160CA239}"/>
    <cellStyle name="Normal 8 3 3 6 2 3" xfId="12876" xr:uid="{2CF99683-3B8D-4D5B-BA11-5A0DE7F1CA96}"/>
    <cellStyle name="Normal 8 3 3 6 2 4" xfId="21305" xr:uid="{5542F51E-D766-426A-A676-40015859610D}"/>
    <cellStyle name="Normal 8 3 3 6 3" xfId="6520" xr:uid="{00000000-0005-0000-0000-0000A41D0000}"/>
    <cellStyle name="Normal 8 3 3 6 3 2" xfId="14949" xr:uid="{AF728783-A8D0-4366-9C82-B97C81B3E741}"/>
    <cellStyle name="Normal 8 3 3 6 3 3" xfId="23377" xr:uid="{AC8E5997-B30F-4583-AC78-A590E8A59F14}"/>
    <cellStyle name="Normal 8 3 3 6 4" xfId="10731" xr:uid="{03736172-30CA-4154-9F26-4C50F2485D7D}"/>
    <cellStyle name="Normal 8 3 3 6 5" xfId="19160" xr:uid="{BEDB61F1-9F5F-4F8E-84D8-8418A75C5B38}"/>
    <cellStyle name="Normal 8 3 3 7" xfId="2648" xr:uid="{00000000-0005-0000-0000-0000A51D0000}"/>
    <cellStyle name="Normal 8 3 3 7 2" xfId="6933" xr:uid="{00000000-0005-0000-0000-0000A61D0000}"/>
    <cellStyle name="Normal 8 3 3 7 2 2" xfId="15362" xr:uid="{3FB1E26F-2386-44EF-B7A1-8ECDF1FDCE76}"/>
    <cellStyle name="Normal 8 3 3 7 2 3" xfId="23790" xr:uid="{378E71E1-94AC-42C5-8806-CE1EAC274C6D}"/>
    <cellStyle name="Normal 8 3 3 7 3" xfId="11144" xr:uid="{D4072067-00C4-4FF8-AA46-0C27CBBC671C}"/>
    <cellStyle name="Normal 8 3 3 7 4" xfId="19573" xr:uid="{86134742-2C63-4089-98A8-0471A4A87F76}"/>
    <cellStyle name="Normal 8 3 3 8" xfId="4868" xr:uid="{00000000-0005-0000-0000-0000A71D0000}"/>
    <cellStyle name="Normal 8 3 3 8 2" xfId="13297" xr:uid="{26028DBF-3E90-439E-AC90-6220D40F815E}"/>
    <cellStyle name="Normal 8 3 3 8 3" xfId="21725" xr:uid="{4D71258C-AB77-4A2D-8670-1DFCC34C5FBF}"/>
    <cellStyle name="Normal 8 3 3 9" xfId="9079" xr:uid="{6FCDA143-ECF3-46DC-A51F-A730DD8445A1}"/>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7" xr:uid="{4A8E37BA-1F73-47DC-9A6E-0199F24A32BB}"/>
    <cellStyle name="Normal 8 3 4 2 2 2 3" xfId="24285" xr:uid="{27F8AC70-4092-4392-B736-AC0C171D7C63}"/>
    <cellStyle name="Normal 8 3 4 2 2 3" xfId="11639" xr:uid="{3629DC02-267B-476E-A8AF-23472231FC61}"/>
    <cellStyle name="Normal 8 3 4 2 2 4" xfId="20068" xr:uid="{AA623190-61CA-47B8-98A9-864CA16F920E}"/>
    <cellStyle name="Normal 8 3 4 2 3" xfId="5283" xr:uid="{00000000-0005-0000-0000-0000AC1D0000}"/>
    <cellStyle name="Normal 8 3 4 2 3 2" xfId="13712" xr:uid="{B9F1E471-BD2B-4405-857F-C0CC219357FB}"/>
    <cellStyle name="Normal 8 3 4 2 3 3" xfId="22140" xr:uid="{8CF6A7DB-3EED-4B5F-999F-99EFEFB25301}"/>
    <cellStyle name="Normal 8 3 4 2 4" xfId="9494" xr:uid="{1EFE2CCB-467A-4FEE-88F5-A0929E4C95C6}"/>
    <cellStyle name="Normal 8 3 4 2 5" xfId="17923" xr:uid="{DC1913F7-3D4B-4506-AD55-8A55A9457774}"/>
    <cellStyle name="Normal 8 3 4 3" xfId="1387" xr:uid="{00000000-0005-0000-0000-0000AD1D0000}"/>
    <cellStyle name="Normal 8 3 4 3 2" xfId="3617" xr:uid="{00000000-0005-0000-0000-0000AE1D0000}"/>
    <cellStyle name="Normal 8 3 4 3 2 2" xfId="7841" xr:uid="{00000000-0005-0000-0000-0000AF1D0000}"/>
    <cellStyle name="Normal 8 3 4 3 2 2 2" xfId="16270" xr:uid="{781CCEF8-1F7D-4A82-AE16-25460D515AD1}"/>
    <cellStyle name="Normal 8 3 4 3 2 2 3" xfId="24698" xr:uid="{151E86A5-0749-4A92-9B89-6ECA6E652338}"/>
    <cellStyle name="Normal 8 3 4 3 2 3" xfId="12052" xr:uid="{2C35EE78-955C-46D2-A3C3-FA9C08CFE5A0}"/>
    <cellStyle name="Normal 8 3 4 3 2 4" xfId="20481" xr:uid="{74CFFF08-D8B3-4520-BD0A-8F484C04E5FC}"/>
    <cellStyle name="Normal 8 3 4 3 3" xfId="5696" xr:uid="{00000000-0005-0000-0000-0000B01D0000}"/>
    <cellStyle name="Normal 8 3 4 3 3 2" xfId="14125" xr:uid="{85EF38A5-68CD-43CB-934F-D92C802135C7}"/>
    <cellStyle name="Normal 8 3 4 3 3 3" xfId="22553" xr:uid="{A6DDD6A0-855A-465F-9B4B-6303332942A7}"/>
    <cellStyle name="Normal 8 3 4 3 4" xfId="9907" xr:uid="{D72F051C-5BAF-4576-8682-92343E5E4492}"/>
    <cellStyle name="Normal 8 3 4 3 5" xfId="18336" xr:uid="{14E63205-C4F4-4EA4-AE83-0D2A2E0A1D93}"/>
    <cellStyle name="Normal 8 3 4 4" xfId="1800" xr:uid="{00000000-0005-0000-0000-0000B11D0000}"/>
    <cellStyle name="Normal 8 3 4 4 2" xfId="4030" xr:uid="{00000000-0005-0000-0000-0000B21D0000}"/>
    <cellStyle name="Normal 8 3 4 4 2 2" xfId="8254" xr:uid="{00000000-0005-0000-0000-0000B31D0000}"/>
    <cellStyle name="Normal 8 3 4 4 2 2 2" xfId="16683" xr:uid="{F9B24E78-8BE1-4FA4-86A4-624409313104}"/>
    <cellStyle name="Normal 8 3 4 4 2 2 3" xfId="25111" xr:uid="{3A8E44DF-E5EB-4753-AA76-DA5C4358A4FE}"/>
    <cellStyle name="Normal 8 3 4 4 2 3" xfId="12465" xr:uid="{CC903D62-5EC6-4CDB-AB64-211E2A4CDCBB}"/>
    <cellStyle name="Normal 8 3 4 4 2 4" xfId="20894" xr:uid="{76E9F221-35A9-49C5-9972-F8DD29C134D8}"/>
    <cellStyle name="Normal 8 3 4 4 3" xfId="6109" xr:uid="{00000000-0005-0000-0000-0000B41D0000}"/>
    <cellStyle name="Normal 8 3 4 4 3 2" xfId="14538" xr:uid="{0806BCCE-F57C-4F45-96A8-03BBB08C83D5}"/>
    <cellStyle name="Normal 8 3 4 4 3 3" xfId="22966" xr:uid="{1976519A-DC58-4B54-86D4-3907CCDA669E}"/>
    <cellStyle name="Normal 8 3 4 4 4" xfId="10320" xr:uid="{02DDCA20-98CC-4DFE-9D72-D5EB8D8E5309}"/>
    <cellStyle name="Normal 8 3 4 4 5" xfId="18749" xr:uid="{FB242E5E-12E4-45D1-AA7E-A1CE42C6BC71}"/>
    <cellStyle name="Normal 8 3 4 5" xfId="2214" xr:uid="{00000000-0005-0000-0000-0000B51D0000}"/>
    <cellStyle name="Normal 8 3 4 5 2" xfId="4443" xr:uid="{00000000-0005-0000-0000-0000B61D0000}"/>
    <cellStyle name="Normal 8 3 4 5 2 2" xfId="8667" xr:uid="{00000000-0005-0000-0000-0000B71D0000}"/>
    <cellStyle name="Normal 8 3 4 5 2 2 2" xfId="17096" xr:uid="{DF1A1480-0A0D-46A2-A18C-51BC1071D217}"/>
    <cellStyle name="Normal 8 3 4 5 2 2 3" xfId="25524" xr:uid="{18FFB41D-517D-4156-BE83-C7743699BD6C}"/>
    <cellStyle name="Normal 8 3 4 5 2 3" xfId="12878" xr:uid="{2F1E2D04-D3C4-4887-8854-1C2872C97011}"/>
    <cellStyle name="Normal 8 3 4 5 2 4" xfId="21307" xr:uid="{326554A4-1DCD-4668-8A5E-19A32E82F5DF}"/>
    <cellStyle name="Normal 8 3 4 5 3" xfId="6522" xr:uid="{00000000-0005-0000-0000-0000B81D0000}"/>
    <cellStyle name="Normal 8 3 4 5 3 2" xfId="14951" xr:uid="{E8D1E63C-BD9B-4197-A33A-9B355E5B32DD}"/>
    <cellStyle name="Normal 8 3 4 5 3 3" xfId="23379" xr:uid="{BBB85D12-13D8-4FC9-ADD9-017FBEF603FC}"/>
    <cellStyle name="Normal 8 3 4 5 4" xfId="10733" xr:uid="{90018464-58F8-4B66-A08D-CF4B71BB395E}"/>
    <cellStyle name="Normal 8 3 4 5 5" xfId="19162" xr:uid="{F7D215BF-8CD4-40BC-B4AA-48CF4415E3AA}"/>
    <cellStyle name="Normal 8 3 4 6" xfId="2650" xr:uid="{00000000-0005-0000-0000-0000B91D0000}"/>
    <cellStyle name="Normal 8 3 4 6 2" xfId="6935" xr:uid="{00000000-0005-0000-0000-0000BA1D0000}"/>
    <cellStyle name="Normal 8 3 4 6 2 2" xfId="15364" xr:uid="{B187D76E-D3A8-4FEA-A989-1CA60E04CFBE}"/>
    <cellStyle name="Normal 8 3 4 6 2 3" xfId="23792" xr:uid="{E5F175F7-0AD3-49B0-B0E8-687E78AA9C29}"/>
    <cellStyle name="Normal 8 3 4 6 3" xfId="11146" xr:uid="{DC164483-4305-485F-8DF2-8C78A6CD6A83}"/>
    <cellStyle name="Normal 8 3 4 6 4" xfId="19575" xr:uid="{E3336000-37A8-4A84-8768-311931ADD904}"/>
    <cellStyle name="Normal 8 3 4 7" xfId="4870" xr:uid="{00000000-0005-0000-0000-0000BB1D0000}"/>
    <cellStyle name="Normal 8 3 4 7 2" xfId="13299" xr:uid="{C44B4BBB-7579-4994-AC13-72BCC6A81A3F}"/>
    <cellStyle name="Normal 8 3 4 7 3" xfId="21727" xr:uid="{58358A77-44D6-4477-93D9-7CC8996ADF57}"/>
    <cellStyle name="Normal 8 3 4 8" xfId="9081" xr:uid="{77C4BD2F-429E-4CC6-8F83-B31106FF830E}"/>
    <cellStyle name="Normal 8 3 4 9" xfId="17510" xr:uid="{EAC612E0-6231-4558-8A98-9341E11D1195}"/>
    <cellStyle name="Normal 8 3 5" xfId="963" xr:uid="{00000000-0005-0000-0000-0000BC1D0000}"/>
    <cellStyle name="Normal 8 3 5 2" xfId="3197" xr:uid="{00000000-0005-0000-0000-0000BD1D0000}"/>
    <cellStyle name="Normal 8 3 5 2 2" xfId="7421" xr:uid="{00000000-0005-0000-0000-0000BE1D0000}"/>
    <cellStyle name="Normal 8 3 5 2 2 2" xfId="15850" xr:uid="{535BA7B9-99AF-4FFB-AE11-C0055DD99F71}"/>
    <cellStyle name="Normal 8 3 5 2 2 3" xfId="24278" xr:uid="{D04B0A45-3B52-4EB2-A2CA-1AF3E0D3A198}"/>
    <cellStyle name="Normal 8 3 5 2 3" xfId="11632" xr:uid="{20934EA4-D4C7-4652-938F-BE8DC2AA21B5}"/>
    <cellStyle name="Normal 8 3 5 2 4" xfId="20061" xr:uid="{B22154BB-7D9F-4445-83B7-950E42FBB597}"/>
    <cellStyle name="Normal 8 3 5 3" xfId="5276" xr:uid="{00000000-0005-0000-0000-0000BF1D0000}"/>
    <cellStyle name="Normal 8 3 5 3 2" xfId="13705" xr:uid="{3A0AE37A-2F47-45FA-9F6F-258EBFA14E9C}"/>
    <cellStyle name="Normal 8 3 5 3 3" xfId="22133" xr:uid="{46D48357-993B-4017-AC0A-D7D4DE02E08C}"/>
    <cellStyle name="Normal 8 3 5 4" xfId="9487" xr:uid="{09028A9D-3BE7-4D38-BA53-12991C2613E2}"/>
    <cellStyle name="Normal 8 3 5 5" xfId="17916" xr:uid="{D5C90AA0-4668-4925-A7E0-24DE316BE648}"/>
    <cellStyle name="Normal 8 3 6" xfId="1380" xr:uid="{00000000-0005-0000-0000-0000C01D0000}"/>
    <cellStyle name="Normal 8 3 6 2" xfId="3610" xr:uid="{00000000-0005-0000-0000-0000C11D0000}"/>
    <cellStyle name="Normal 8 3 6 2 2" xfId="7834" xr:uid="{00000000-0005-0000-0000-0000C21D0000}"/>
    <cellStyle name="Normal 8 3 6 2 2 2" xfId="16263" xr:uid="{183E7F68-44F8-43B5-97C3-114E2E3E8BC7}"/>
    <cellStyle name="Normal 8 3 6 2 2 3" xfId="24691" xr:uid="{6BBF4482-969A-4F61-A26D-4282F374FD63}"/>
    <cellStyle name="Normal 8 3 6 2 3" xfId="12045" xr:uid="{16318A91-4288-4D5E-916F-3429F53EE26A}"/>
    <cellStyle name="Normal 8 3 6 2 4" xfId="20474" xr:uid="{54E4750F-6F44-4A5D-81D4-A9DF0AF08A8F}"/>
    <cellStyle name="Normal 8 3 6 3" xfId="5689" xr:uid="{00000000-0005-0000-0000-0000C31D0000}"/>
    <cellStyle name="Normal 8 3 6 3 2" xfId="14118" xr:uid="{1B62CE71-8B03-49D8-90C7-D36101780C7F}"/>
    <cellStyle name="Normal 8 3 6 3 3" xfId="22546" xr:uid="{CE9040D8-EF89-4EB2-B6E4-ED3295A148CE}"/>
    <cellStyle name="Normal 8 3 6 4" xfId="9900" xr:uid="{D83D2807-329A-4E91-AE31-7D6C24D9FB82}"/>
    <cellStyle name="Normal 8 3 6 5" xfId="18329" xr:uid="{B8BC0740-30E8-47F1-A32A-0F263EC62C0A}"/>
    <cellStyle name="Normal 8 3 7" xfId="1793" xr:uid="{00000000-0005-0000-0000-0000C41D0000}"/>
    <cellStyle name="Normal 8 3 7 2" xfId="4023" xr:uid="{00000000-0005-0000-0000-0000C51D0000}"/>
    <cellStyle name="Normal 8 3 7 2 2" xfId="8247" xr:uid="{00000000-0005-0000-0000-0000C61D0000}"/>
    <cellStyle name="Normal 8 3 7 2 2 2" xfId="16676" xr:uid="{A5F33A43-4C3B-4C1F-A6BA-3C11D4749FF9}"/>
    <cellStyle name="Normal 8 3 7 2 2 3" xfId="25104" xr:uid="{9307465B-CB46-48F2-AD83-E2D1C0A65A41}"/>
    <cellStyle name="Normal 8 3 7 2 3" xfId="12458" xr:uid="{C5234D14-06E2-462D-97FA-1566CFC8CDDE}"/>
    <cellStyle name="Normal 8 3 7 2 4" xfId="20887" xr:uid="{2659ABA0-2997-4021-846D-D9BE6064FDB8}"/>
    <cellStyle name="Normal 8 3 7 3" xfId="6102" xr:uid="{00000000-0005-0000-0000-0000C71D0000}"/>
    <cellStyle name="Normal 8 3 7 3 2" xfId="14531" xr:uid="{06D22C1E-7F53-44B7-BA86-5E7ED7B87322}"/>
    <cellStyle name="Normal 8 3 7 3 3" xfId="22959" xr:uid="{C389A606-0008-4AAB-869A-90E7204A712D}"/>
    <cellStyle name="Normal 8 3 7 4" xfId="10313" xr:uid="{6E32C36A-B6CB-469E-8A61-14DB4A7C0BEC}"/>
    <cellStyle name="Normal 8 3 7 5" xfId="18742" xr:uid="{F74CF51C-310F-4B4D-A439-B10837EEADF4}"/>
    <cellStyle name="Normal 8 3 8" xfId="2207" xr:uid="{00000000-0005-0000-0000-0000C81D0000}"/>
    <cellStyle name="Normal 8 3 8 2" xfId="4436" xr:uid="{00000000-0005-0000-0000-0000C91D0000}"/>
    <cellStyle name="Normal 8 3 8 2 2" xfId="8660" xr:uid="{00000000-0005-0000-0000-0000CA1D0000}"/>
    <cellStyle name="Normal 8 3 8 2 2 2" xfId="17089" xr:uid="{D28A7BE8-EAD4-497F-BD50-15E62AB5B726}"/>
    <cellStyle name="Normal 8 3 8 2 2 3" xfId="25517" xr:uid="{BB43185A-B885-4DDD-82D5-78588B4210C6}"/>
    <cellStyle name="Normal 8 3 8 2 3" xfId="12871" xr:uid="{D62DB316-4F91-4E09-A0DE-20F6626E6B26}"/>
    <cellStyle name="Normal 8 3 8 2 4" xfId="21300" xr:uid="{33B1675B-5C44-4718-B096-40020EF4CFFF}"/>
    <cellStyle name="Normal 8 3 8 3" xfId="6515" xr:uid="{00000000-0005-0000-0000-0000CB1D0000}"/>
    <cellStyle name="Normal 8 3 8 3 2" xfId="14944" xr:uid="{37839E4E-A499-41E0-9CD7-129CFEAB8F6E}"/>
    <cellStyle name="Normal 8 3 8 3 3" xfId="23372" xr:uid="{441539E2-D362-4132-B787-159D9C83FA96}"/>
    <cellStyle name="Normal 8 3 8 4" xfId="10726" xr:uid="{5A60EF69-E804-4DDC-98BA-A01168FB021B}"/>
    <cellStyle name="Normal 8 3 8 5" xfId="19155" xr:uid="{35362817-E522-4643-9CAC-DEA5B1B38AFD}"/>
    <cellStyle name="Normal 8 3 9" xfId="2643" xr:uid="{00000000-0005-0000-0000-0000CC1D0000}"/>
    <cellStyle name="Normal 8 3 9 2" xfId="6928" xr:uid="{00000000-0005-0000-0000-0000CD1D0000}"/>
    <cellStyle name="Normal 8 3 9 2 2" xfId="15357" xr:uid="{72AD9783-37CB-4E43-9333-58DE36664E56}"/>
    <cellStyle name="Normal 8 3 9 2 3" xfId="23785" xr:uid="{16B1B1D2-7D5C-4941-AABF-A66E9E57470F}"/>
    <cellStyle name="Normal 8 3 9 3" xfId="11139" xr:uid="{D407DD17-D071-4F19-809F-0AE140BE14BC}"/>
    <cellStyle name="Normal 8 3 9 4" xfId="19568" xr:uid="{B7AD25D5-23C2-46F0-A3AB-720FA5E6ADF8}"/>
    <cellStyle name="Normal 8 4" xfId="503" xr:uid="{00000000-0005-0000-0000-0000CE1D0000}"/>
    <cellStyle name="Normal 8 4 10" xfId="9082" xr:uid="{10DFE428-6388-49FF-A156-CBAF774B8F8B}"/>
    <cellStyle name="Normal 8 4 11" xfId="17511" xr:uid="{43055A1C-C682-490F-918A-936FCD1C9E98}"/>
    <cellStyle name="Normal 8 4 2" xfId="504" xr:uid="{00000000-0005-0000-0000-0000CF1D0000}"/>
    <cellStyle name="Normal 8 4 2 10" xfId="17512" xr:uid="{083CDDA5-CBF8-44E8-9E2E-CE680698C52A}"/>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60" xr:uid="{811ED4D5-3160-46F0-9D52-F61DEDBF84F4}"/>
    <cellStyle name="Normal 8 4 2 2 2 2 2 3" xfId="24288" xr:uid="{476F2EF1-BB0C-4DAF-BF19-D712676C4602}"/>
    <cellStyle name="Normal 8 4 2 2 2 2 3" xfId="11642" xr:uid="{169FCB83-3A07-4017-8B02-688005FB4B32}"/>
    <cellStyle name="Normal 8 4 2 2 2 2 4" xfId="20071" xr:uid="{FA16ED09-6C25-498F-8223-93F05D3C2FC4}"/>
    <cellStyle name="Normal 8 4 2 2 2 3" xfId="5286" xr:uid="{00000000-0005-0000-0000-0000D41D0000}"/>
    <cellStyle name="Normal 8 4 2 2 2 3 2" xfId="13715" xr:uid="{A4F31CEC-60A0-458B-9D64-435EEDECD17F}"/>
    <cellStyle name="Normal 8 4 2 2 2 3 3" xfId="22143" xr:uid="{2B188A05-A039-4753-B043-E9A41B716873}"/>
    <cellStyle name="Normal 8 4 2 2 2 4" xfId="9497" xr:uid="{F352F09D-170D-449A-9296-3FCDE1BA0B0B}"/>
    <cellStyle name="Normal 8 4 2 2 2 5" xfId="17926" xr:uid="{DC70E8A0-F518-4959-AA4B-1E320E10D66F}"/>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73" xr:uid="{B590CCA5-7082-45DC-A8F1-DAB7B5AEA5AD}"/>
    <cellStyle name="Normal 8 4 2 2 3 2 2 3" xfId="24701" xr:uid="{A43318D4-DE35-48FE-8C78-9600E79318C9}"/>
    <cellStyle name="Normal 8 4 2 2 3 2 3" xfId="12055" xr:uid="{CF9A6A0C-88A7-4739-B43B-7BD3362A189C}"/>
    <cellStyle name="Normal 8 4 2 2 3 2 4" xfId="20484" xr:uid="{4D62B4F1-1F29-4DAA-B09E-93510E607692}"/>
    <cellStyle name="Normal 8 4 2 2 3 3" xfId="5699" xr:uid="{00000000-0005-0000-0000-0000D81D0000}"/>
    <cellStyle name="Normal 8 4 2 2 3 3 2" xfId="14128" xr:uid="{3C3645CD-7502-4FC2-96E2-55397BF38F24}"/>
    <cellStyle name="Normal 8 4 2 2 3 3 3" xfId="22556" xr:uid="{641C9DCA-2F47-48C4-9EDB-A41D7303DA17}"/>
    <cellStyle name="Normal 8 4 2 2 3 4" xfId="9910" xr:uid="{E0E984F5-34B5-4897-B79C-5E312D82E6AE}"/>
    <cellStyle name="Normal 8 4 2 2 3 5" xfId="18339" xr:uid="{36522BCA-B885-41B4-A682-2F252B8EA69A}"/>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86" xr:uid="{D5BA4DF3-E458-4187-BC7E-9D60C31D9431}"/>
    <cellStyle name="Normal 8 4 2 2 4 2 2 3" xfId="25114" xr:uid="{34A68171-620F-4444-8D58-0A31079EBC82}"/>
    <cellStyle name="Normal 8 4 2 2 4 2 3" xfId="12468" xr:uid="{BD3AE0CD-9A54-4A6A-876F-5CED2E5F02A1}"/>
    <cellStyle name="Normal 8 4 2 2 4 2 4" xfId="20897" xr:uid="{BD2032A0-1D84-4BF0-BE32-05288B7851A3}"/>
    <cellStyle name="Normal 8 4 2 2 4 3" xfId="6112" xr:uid="{00000000-0005-0000-0000-0000DC1D0000}"/>
    <cellStyle name="Normal 8 4 2 2 4 3 2" xfId="14541" xr:uid="{33017A2A-8296-4EDC-B366-EAE4CCF16749}"/>
    <cellStyle name="Normal 8 4 2 2 4 3 3" xfId="22969" xr:uid="{EEB732EC-08AF-4F27-B2A5-B769C520D042}"/>
    <cellStyle name="Normal 8 4 2 2 4 4" xfId="10323" xr:uid="{3F434470-6D7C-4E19-8659-A90581713A02}"/>
    <cellStyle name="Normal 8 4 2 2 4 5" xfId="18752" xr:uid="{6B52F165-D55D-4A8A-991D-7B6AB0AFBECF}"/>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9" xr:uid="{57E75332-5581-44A7-A7EF-E56EAB77DBB1}"/>
    <cellStyle name="Normal 8 4 2 2 5 2 2 3" xfId="25527" xr:uid="{ACFE66C1-198D-4D13-B3ED-0BB498F15F29}"/>
    <cellStyle name="Normal 8 4 2 2 5 2 3" xfId="12881" xr:uid="{377029B2-03F3-4A52-A17C-347C473260EC}"/>
    <cellStyle name="Normal 8 4 2 2 5 2 4" xfId="21310" xr:uid="{B91A27B1-1731-45C8-82C9-51DD96908558}"/>
    <cellStyle name="Normal 8 4 2 2 5 3" xfId="6525" xr:uid="{00000000-0005-0000-0000-0000E01D0000}"/>
    <cellStyle name="Normal 8 4 2 2 5 3 2" xfId="14954" xr:uid="{E43228EE-7CD7-4C9F-B1D1-B69F7F245A1D}"/>
    <cellStyle name="Normal 8 4 2 2 5 3 3" xfId="23382" xr:uid="{084676A7-FF4C-433D-AA37-C1750D442BBA}"/>
    <cellStyle name="Normal 8 4 2 2 5 4" xfId="10736" xr:uid="{EFE4E125-166E-41CC-83D9-DA09B5D56910}"/>
    <cellStyle name="Normal 8 4 2 2 5 5" xfId="19165" xr:uid="{70E7A93D-CAF6-4510-86D5-E79C5AE350F9}"/>
    <cellStyle name="Normal 8 4 2 2 6" xfId="2653" xr:uid="{00000000-0005-0000-0000-0000E11D0000}"/>
    <cellStyle name="Normal 8 4 2 2 6 2" xfId="6938" xr:uid="{00000000-0005-0000-0000-0000E21D0000}"/>
    <cellStyle name="Normal 8 4 2 2 6 2 2" xfId="15367" xr:uid="{BF71F84C-DC94-4006-A3B5-FBA85291A63C}"/>
    <cellStyle name="Normal 8 4 2 2 6 2 3" xfId="23795" xr:uid="{B4093413-C02F-4511-A94F-3A03E43ADDE0}"/>
    <cellStyle name="Normal 8 4 2 2 6 3" xfId="11149" xr:uid="{5FDC86D8-909C-4BBA-A40C-32124B890AD6}"/>
    <cellStyle name="Normal 8 4 2 2 6 4" xfId="19578" xr:uid="{732BD985-AF04-4F01-ADE9-CB4BC9E62E42}"/>
    <cellStyle name="Normal 8 4 2 2 7" xfId="4873" xr:uid="{00000000-0005-0000-0000-0000E31D0000}"/>
    <cellStyle name="Normal 8 4 2 2 7 2" xfId="13302" xr:uid="{25B42C0C-7890-4142-B644-94CC2BDBCDDF}"/>
    <cellStyle name="Normal 8 4 2 2 7 3" xfId="21730" xr:uid="{25001180-63A0-48C2-BB1B-E5EE69C112B3}"/>
    <cellStyle name="Normal 8 4 2 2 8" xfId="9084" xr:uid="{2006AF06-CAAB-4B03-B29B-A6A31FCFE463}"/>
    <cellStyle name="Normal 8 4 2 2 9" xfId="17513" xr:uid="{B3BD6B88-7871-404E-8AF9-708F30E38863}"/>
    <cellStyle name="Normal 8 4 2 3" xfId="972" xr:uid="{00000000-0005-0000-0000-0000E41D0000}"/>
    <cellStyle name="Normal 8 4 2 3 2" xfId="3206" xr:uid="{00000000-0005-0000-0000-0000E51D0000}"/>
    <cellStyle name="Normal 8 4 2 3 2 2" xfId="7430" xr:uid="{00000000-0005-0000-0000-0000E61D0000}"/>
    <cellStyle name="Normal 8 4 2 3 2 2 2" xfId="15859" xr:uid="{C533C8B7-F9C5-498E-88B5-4B9537A98FA7}"/>
    <cellStyle name="Normal 8 4 2 3 2 2 3" xfId="24287" xr:uid="{6160AC4C-67E6-4A01-B109-53DA3A27DC0F}"/>
    <cellStyle name="Normal 8 4 2 3 2 3" xfId="11641" xr:uid="{955AE0AC-18C0-45F5-8390-9E678CA00D7E}"/>
    <cellStyle name="Normal 8 4 2 3 2 4" xfId="20070" xr:uid="{803B18EB-66C9-47D2-9F5F-753C6A5A1878}"/>
    <cellStyle name="Normal 8 4 2 3 3" xfId="5285" xr:uid="{00000000-0005-0000-0000-0000E71D0000}"/>
    <cellStyle name="Normal 8 4 2 3 3 2" xfId="13714" xr:uid="{4CA0A3FD-B1F8-417D-BF6B-120B3C884715}"/>
    <cellStyle name="Normal 8 4 2 3 3 3" xfId="22142" xr:uid="{C089249D-057F-4DBB-AEDC-A175BABC44DB}"/>
    <cellStyle name="Normal 8 4 2 3 4" xfId="9496" xr:uid="{05F509B7-A3DC-4A52-B5A4-8FA7DA3425A8}"/>
    <cellStyle name="Normal 8 4 2 3 5" xfId="17925" xr:uid="{904DF836-05C1-4F49-9C69-1CF2C360E893}"/>
    <cellStyle name="Normal 8 4 2 4" xfId="1389" xr:uid="{00000000-0005-0000-0000-0000E81D0000}"/>
    <cellStyle name="Normal 8 4 2 4 2" xfId="3619" xr:uid="{00000000-0005-0000-0000-0000E91D0000}"/>
    <cellStyle name="Normal 8 4 2 4 2 2" xfId="7843" xr:uid="{00000000-0005-0000-0000-0000EA1D0000}"/>
    <cellStyle name="Normal 8 4 2 4 2 2 2" xfId="16272" xr:uid="{DC6B5A96-27EC-4247-A18B-7B8A261571A9}"/>
    <cellStyle name="Normal 8 4 2 4 2 2 3" xfId="24700" xr:uid="{BAAC58AF-53B7-4272-8C34-C04EC7035750}"/>
    <cellStyle name="Normal 8 4 2 4 2 3" xfId="12054" xr:uid="{51F9C18D-5859-4688-B81F-4E09F50DC207}"/>
    <cellStyle name="Normal 8 4 2 4 2 4" xfId="20483" xr:uid="{E8E5336A-1C25-468E-8D59-D501F6B96F2D}"/>
    <cellStyle name="Normal 8 4 2 4 3" xfId="5698" xr:uid="{00000000-0005-0000-0000-0000EB1D0000}"/>
    <cellStyle name="Normal 8 4 2 4 3 2" xfId="14127" xr:uid="{37DA681C-8543-45FD-93A6-73ED50E1A660}"/>
    <cellStyle name="Normal 8 4 2 4 3 3" xfId="22555" xr:uid="{2962C680-AEB9-4DEA-82ED-78693340E2D2}"/>
    <cellStyle name="Normal 8 4 2 4 4" xfId="9909" xr:uid="{D9015FB8-7FCE-4CEA-BA67-C1CCD2CF2BBD}"/>
    <cellStyle name="Normal 8 4 2 4 5" xfId="18338" xr:uid="{E21683ED-6203-4B1A-8A06-340E34423569}"/>
    <cellStyle name="Normal 8 4 2 5" xfId="1802" xr:uid="{00000000-0005-0000-0000-0000EC1D0000}"/>
    <cellStyle name="Normal 8 4 2 5 2" xfId="4032" xr:uid="{00000000-0005-0000-0000-0000ED1D0000}"/>
    <cellStyle name="Normal 8 4 2 5 2 2" xfId="8256" xr:uid="{00000000-0005-0000-0000-0000EE1D0000}"/>
    <cellStyle name="Normal 8 4 2 5 2 2 2" xfId="16685" xr:uid="{64449E96-4206-4D49-93F8-11CB9D5D938F}"/>
    <cellStyle name="Normal 8 4 2 5 2 2 3" xfId="25113" xr:uid="{97909EF1-42C1-4707-8F38-4392335AD8A5}"/>
    <cellStyle name="Normal 8 4 2 5 2 3" xfId="12467" xr:uid="{91711D8E-9054-43A2-ACBD-1AE206B312F0}"/>
    <cellStyle name="Normal 8 4 2 5 2 4" xfId="20896" xr:uid="{1979B31A-2D54-49F3-952C-99D14C6981EB}"/>
    <cellStyle name="Normal 8 4 2 5 3" xfId="6111" xr:uid="{00000000-0005-0000-0000-0000EF1D0000}"/>
    <cellStyle name="Normal 8 4 2 5 3 2" xfId="14540" xr:uid="{A83596B4-AC1E-44C5-8793-ED92DB9E837F}"/>
    <cellStyle name="Normal 8 4 2 5 3 3" xfId="22968" xr:uid="{8830F78C-8B09-434A-922C-DE19C5722DD3}"/>
    <cellStyle name="Normal 8 4 2 5 4" xfId="10322" xr:uid="{48B6F2E4-CC38-45D4-A42F-44B0088C500A}"/>
    <cellStyle name="Normal 8 4 2 5 5" xfId="18751" xr:uid="{3E1F074E-47C9-4064-85B5-2AB6CCE6AC9D}"/>
    <cellStyle name="Normal 8 4 2 6" xfId="2216" xr:uid="{00000000-0005-0000-0000-0000F01D0000}"/>
    <cellStyle name="Normal 8 4 2 6 2" xfId="4445" xr:uid="{00000000-0005-0000-0000-0000F11D0000}"/>
    <cellStyle name="Normal 8 4 2 6 2 2" xfId="8669" xr:uid="{00000000-0005-0000-0000-0000F21D0000}"/>
    <cellStyle name="Normal 8 4 2 6 2 2 2" xfId="17098" xr:uid="{6E6FFF1E-9479-47E6-BD15-1CAD9CCDFC80}"/>
    <cellStyle name="Normal 8 4 2 6 2 2 3" xfId="25526" xr:uid="{E0118B36-9B65-42DB-91AA-34EE65BF8C3C}"/>
    <cellStyle name="Normal 8 4 2 6 2 3" xfId="12880" xr:uid="{3A26B8E5-161A-4E00-B02F-D73292AAA40C}"/>
    <cellStyle name="Normal 8 4 2 6 2 4" xfId="21309" xr:uid="{CA7E53F4-5DE9-407A-A292-FCD0A5C67E17}"/>
    <cellStyle name="Normal 8 4 2 6 3" xfId="6524" xr:uid="{00000000-0005-0000-0000-0000F31D0000}"/>
    <cellStyle name="Normal 8 4 2 6 3 2" xfId="14953" xr:uid="{6FEDF717-46B6-42F5-A7FF-9E7EFF31CD7C}"/>
    <cellStyle name="Normal 8 4 2 6 3 3" xfId="23381" xr:uid="{D0FD25BB-F7F1-4629-AB9B-A2157AC48957}"/>
    <cellStyle name="Normal 8 4 2 6 4" xfId="10735" xr:uid="{9D7492D1-59ED-4DCC-AFE1-56FE18CCB53C}"/>
    <cellStyle name="Normal 8 4 2 6 5" xfId="19164" xr:uid="{3A15C163-4D13-4C2C-8AD6-A6C2FDB4F6D0}"/>
    <cellStyle name="Normal 8 4 2 7" xfId="2652" xr:uid="{00000000-0005-0000-0000-0000F41D0000}"/>
    <cellStyle name="Normal 8 4 2 7 2" xfId="6937" xr:uid="{00000000-0005-0000-0000-0000F51D0000}"/>
    <cellStyle name="Normal 8 4 2 7 2 2" xfId="15366" xr:uid="{4D26D2C6-CD1D-4D6A-B91E-15FD9A327F9B}"/>
    <cellStyle name="Normal 8 4 2 7 2 3" xfId="23794" xr:uid="{411D8F93-7268-4088-BAEC-55C0EB1867D9}"/>
    <cellStyle name="Normal 8 4 2 7 3" xfId="11148" xr:uid="{8BFC53CB-C5D8-4872-A1FD-6366F0F5F45B}"/>
    <cellStyle name="Normal 8 4 2 7 4" xfId="19577" xr:uid="{55BDEDD7-3B9A-48BE-A89E-8352B5701451}"/>
    <cellStyle name="Normal 8 4 2 8" xfId="4872" xr:uid="{00000000-0005-0000-0000-0000F61D0000}"/>
    <cellStyle name="Normal 8 4 2 8 2" xfId="13301" xr:uid="{5AAD2068-A6AD-4CF5-932B-8B109DE1BAA2}"/>
    <cellStyle name="Normal 8 4 2 8 3" xfId="21729" xr:uid="{06D1A789-E9FB-4AB7-8EAE-D9AF957BCB1A}"/>
    <cellStyle name="Normal 8 4 2 9" xfId="9083" xr:uid="{7E050040-35A5-4C55-B03C-B01772321AA8}"/>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61" xr:uid="{6654E45B-BBCC-4399-9404-CCF0DC28B16A}"/>
    <cellStyle name="Normal 8 4 3 2 2 2 3" xfId="24289" xr:uid="{1278C49C-C89E-42C4-82E8-51AC8E0C1873}"/>
    <cellStyle name="Normal 8 4 3 2 2 3" xfId="11643" xr:uid="{5FC7997E-2998-4A34-87B1-F50F80E169A9}"/>
    <cellStyle name="Normal 8 4 3 2 2 4" xfId="20072" xr:uid="{01089E09-5DEF-4814-8BA3-98CD56AEB14E}"/>
    <cellStyle name="Normal 8 4 3 2 3" xfId="5287" xr:uid="{00000000-0005-0000-0000-0000FB1D0000}"/>
    <cellStyle name="Normal 8 4 3 2 3 2" xfId="13716" xr:uid="{404EC23B-40C3-4FDD-9EBC-A3F85B43F6CE}"/>
    <cellStyle name="Normal 8 4 3 2 3 3" xfId="22144" xr:uid="{4629EF92-75A4-476F-AB77-0D8727E2B553}"/>
    <cellStyle name="Normal 8 4 3 2 4" xfId="9498" xr:uid="{677F41F3-B141-4F74-A494-FAF45A4B104F}"/>
    <cellStyle name="Normal 8 4 3 2 5" xfId="17927" xr:uid="{72428109-F77E-4D2F-BB19-3C7458392DAD}"/>
    <cellStyle name="Normal 8 4 3 3" xfId="1391" xr:uid="{00000000-0005-0000-0000-0000FC1D0000}"/>
    <cellStyle name="Normal 8 4 3 3 2" xfId="3621" xr:uid="{00000000-0005-0000-0000-0000FD1D0000}"/>
    <cellStyle name="Normal 8 4 3 3 2 2" xfId="7845" xr:uid="{00000000-0005-0000-0000-0000FE1D0000}"/>
    <cellStyle name="Normal 8 4 3 3 2 2 2" xfId="16274" xr:uid="{D993DFD3-1543-438D-A3E2-EF98C891F2C9}"/>
    <cellStyle name="Normal 8 4 3 3 2 2 3" xfId="24702" xr:uid="{1574FB00-2CB0-4B5B-9488-A84291E7A635}"/>
    <cellStyle name="Normal 8 4 3 3 2 3" xfId="12056" xr:uid="{EF92874D-D1AD-48B3-8E2D-00B09A2C78BC}"/>
    <cellStyle name="Normal 8 4 3 3 2 4" xfId="20485" xr:uid="{532E38FD-77F1-4321-B6CD-43B19DFFAF0F}"/>
    <cellStyle name="Normal 8 4 3 3 3" xfId="5700" xr:uid="{00000000-0005-0000-0000-0000FF1D0000}"/>
    <cellStyle name="Normal 8 4 3 3 3 2" xfId="14129" xr:uid="{EC0F5BBD-ECB8-404C-8B7E-2AB7A6E8A8E7}"/>
    <cellStyle name="Normal 8 4 3 3 3 3" xfId="22557" xr:uid="{02C08163-3E81-4210-910B-201D3696122E}"/>
    <cellStyle name="Normal 8 4 3 3 4" xfId="9911" xr:uid="{743D64B3-103A-442D-979C-3E5CFD61E5A7}"/>
    <cellStyle name="Normal 8 4 3 3 5" xfId="18340" xr:uid="{87AE5DFB-F46B-4ABE-A862-70A4E5D47352}"/>
    <cellStyle name="Normal 8 4 3 4" xfId="1804" xr:uid="{00000000-0005-0000-0000-0000001E0000}"/>
    <cellStyle name="Normal 8 4 3 4 2" xfId="4034" xr:uid="{00000000-0005-0000-0000-0000011E0000}"/>
    <cellStyle name="Normal 8 4 3 4 2 2" xfId="8258" xr:uid="{00000000-0005-0000-0000-0000021E0000}"/>
    <cellStyle name="Normal 8 4 3 4 2 2 2" xfId="16687" xr:uid="{C6CE2E87-0B2C-440B-A6DA-889D1264ADB5}"/>
    <cellStyle name="Normal 8 4 3 4 2 2 3" xfId="25115" xr:uid="{54D91977-9FEF-4760-912B-94EBDA3AEE48}"/>
    <cellStyle name="Normal 8 4 3 4 2 3" xfId="12469" xr:uid="{11F0F21A-1A75-4F51-B2C8-EE029BC23C1D}"/>
    <cellStyle name="Normal 8 4 3 4 2 4" xfId="20898" xr:uid="{81200CE9-1BC7-4705-BDE8-500CE8B14301}"/>
    <cellStyle name="Normal 8 4 3 4 3" xfId="6113" xr:uid="{00000000-0005-0000-0000-0000031E0000}"/>
    <cellStyle name="Normal 8 4 3 4 3 2" xfId="14542" xr:uid="{8C12621F-F51C-449A-8D98-908040BC2089}"/>
    <cellStyle name="Normal 8 4 3 4 3 3" xfId="22970" xr:uid="{7B4A1907-52E5-4A02-9494-452A267235E4}"/>
    <cellStyle name="Normal 8 4 3 4 4" xfId="10324" xr:uid="{82EBF83C-8A2C-4FB9-94D0-2640B956099E}"/>
    <cellStyle name="Normal 8 4 3 4 5" xfId="18753" xr:uid="{31546FB3-64A8-4753-82E9-0B552A3AD01F}"/>
    <cellStyle name="Normal 8 4 3 5" xfId="2218" xr:uid="{00000000-0005-0000-0000-0000041E0000}"/>
    <cellStyle name="Normal 8 4 3 5 2" xfId="4447" xr:uid="{00000000-0005-0000-0000-0000051E0000}"/>
    <cellStyle name="Normal 8 4 3 5 2 2" xfId="8671" xr:uid="{00000000-0005-0000-0000-0000061E0000}"/>
    <cellStyle name="Normal 8 4 3 5 2 2 2" xfId="17100" xr:uid="{46A9C82F-E62A-4FA4-936F-536AE8EC92A2}"/>
    <cellStyle name="Normal 8 4 3 5 2 2 3" xfId="25528" xr:uid="{34642E0E-3F3A-4E7A-B468-029A81C0520C}"/>
    <cellStyle name="Normal 8 4 3 5 2 3" xfId="12882" xr:uid="{3F1A2C8A-3AA7-41B4-84B4-7610B144B7F2}"/>
    <cellStyle name="Normal 8 4 3 5 2 4" xfId="21311" xr:uid="{3F7BE744-D286-431E-889F-E88B5D9FDD39}"/>
    <cellStyle name="Normal 8 4 3 5 3" xfId="6526" xr:uid="{00000000-0005-0000-0000-0000071E0000}"/>
    <cellStyle name="Normal 8 4 3 5 3 2" xfId="14955" xr:uid="{439C1D34-801A-4A50-AC8F-16D6C710491D}"/>
    <cellStyle name="Normal 8 4 3 5 3 3" xfId="23383" xr:uid="{6D17B623-C0DA-403A-A3B3-43D3462EE469}"/>
    <cellStyle name="Normal 8 4 3 5 4" xfId="10737" xr:uid="{AA73B039-C722-44B3-8F8C-E604A26378FB}"/>
    <cellStyle name="Normal 8 4 3 5 5" xfId="19166" xr:uid="{AEF06859-9847-4167-87EC-C7CD8627609F}"/>
    <cellStyle name="Normal 8 4 3 6" xfId="2654" xr:uid="{00000000-0005-0000-0000-0000081E0000}"/>
    <cellStyle name="Normal 8 4 3 6 2" xfId="6939" xr:uid="{00000000-0005-0000-0000-0000091E0000}"/>
    <cellStyle name="Normal 8 4 3 6 2 2" xfId="15368" xr:uid="{1AB23E3C-B5E9-4C2E-AC73-CABB50BA5840}"/>
    <cellStyle name="Normal 8 4 3 6 2 3" xfId="23796" xr:uid="{1EF4A543-1531-4F77-B6EC-0BBC0514E31B}"/>
    <cellStyle name="Normal 8 4 3 6 3" xfId="11150" xr:uid="{7AF0404E-F159-4399-979E-31D7F8467E2B}"/>
    <cellStyle name="Normal 8 4 3 6 4" xfId="19579" xr:uid="{669FEF71-1008-4D5D-9150-F4C4D8F57861}"/>
    <cellStyle name="Normal 8 4 3 7" xfId="4874" xr:uid="{00000000-0005-0000-0000-00000A1E0000}"/>
    <cellStyle name="Normal 8 4 3 7 2" xfId="13303" xr:uid="{31DE4E8D-5434-4B95-B63A-94DC76ECC281}"/>
    <cellStyle name="Normal 8 4 3 7 3" xfId="21731" xr:uid="{382BA0AD-CB01-4A40-A915-25EA5DBC1DCF}"/>
    <cellStyle name="Normal 8 4 3 8" xfId="9085" xr:uid="{9148ED36-94F9-46CC-ABB8-AFC054FE22FA}"/>
    <cellStyle name="Normal 8 4 3 9" xfId="17514" xr:uid="{DE12D722-B4F2-43E1-8D8F-C1D59B8FE2DE}"/>
    <cellStyle name="Normal 8 4 4" xfId="971" xr:uid="{00000000-0005-0000-0000-00000B1E0000}"/>
    <cellStyle name="Normal 8 4 4 2" xfId="3205" xr:uid="{00000000-0005-0000-0000-00000C1E0000}"/>
    <cellStyle name="Normal 8 4 4 2 2" xfId="7429" xr:uid="{00000000-0005-0000-0000-00000D1E0000}"/>
    <cellStyle name="Normal 8 4 4 2 2 2" xfId="15858" xr:uid="{1A65C397-1FE3-4C58-82FE-454755379E87}"/>
    <cellStyle name="Normal 8 4 4 2 2 3" xfId="24286" xr:uid="{1A9A2D54-74D1-48F8-9767-9B7B70166844}"/>
    <cellStyle name="Normal 8 4 4 2 3" xfId="11640" xr:uid="{211D2C6F-5798-4032-A97D-AF29D8B61870}"/>
    <cellStyle name="Normal 8 4 4 2 4" xfId="20069" xr:uid="{DBDF26D8-B851-4B7A-9FEA-4448A5C93FA9}"/>
    <cellStyle name="Normal 8 4 4 3" xfId="5284" xr:uid="{00000000-0005-0000-0000-00000E1E0000}"/>
    <cellStyle name="Normal 8 4 4 3 2" xfId="13713" xr:uid="{B4893027-F9A4-4BEB-9D60-EBA9A8E14396}"/>
    <cellStyle name="Normal 8 4 4 3 3" xfId="22141" xr:uid="{E5CE5075-95F6-4355-B42F-A8DCBFE1E133}"/>
    <cellStyle name="Normal 8 4 4 4" xfId="9495" xr:uid="{E9BF67EE-3BE8-43E4-A08A-4DD580C17264}"/>
    <cellStyle name="Normal 8 4 4 5" xfId="17924" xr:uid="{04B85CC3-5D63-4677-B73E-F8D5D75BC9E4}"/>
    <cellStyle name="Normal 8 4 5" xfId="1388" xr:uid="{00000000-0005-0000-0000-00000F1E0000}"/>
    <cellStyle name="Normal 8 4 5 2" xfId="3618" xr:uid="{00000000-0005-0000-0000-0000101E0000}"/>
    <cellStyle name="Normal 8 4 5 2 2" xfId="7842" xr:uid="{00000000-0005-0000-0000-0000111E0000}"/>
    <cellStyle name="Normal 8 4 5 2 2 2" xfId="16271" xr:uid="{54EE8424-C760-4E66-AD9F-353C667C9C98}"/>
    <cellStyle name="Normal 8 4 5 2 2 3" xfId="24699" xr:uid="{45E9A7D3-937C-48FE-B1AF-1D809BA7A04B}"/>
    <cellStyle name="Normal 8 4 5 2 3" xfId="12053" xr:uid="{DF99C617-E721-45F8-AF53-2B1B04006D3D}"/>
    <cellStyle name="Normal 8 4 5 2 4" xfId="20482" xr:uid="{7A352689-D058-44B4-AE9F-9BAFE1A7CEF1}"/>
    <cellStyle name="Normal 8 4 5 3" xfId="5697" xr:uid="{00000000-0005-0000-0000-0000121E0000}"/>
    <cellStyle name="Normal 8 4 5 3 2" xfId="14126" xr:uid="{7724C7E6-ABE6-4238-97D6-136C632D07C2}"/>
    <cellStyle name="Normal 8 4 5 3 3" xfId="22554" xr:uid="{3EB09948-6883-47A6-9C72-3AFC8C501043}"/>
    <cellStyle name="Normal 8 4 5 4" xfId="9908" xr:uid="{53E55872-E202-4792-B2A0-5EE39966CDB9}"/>
    <cellStyle name="Normal 8 4 5 5" xfId="18337" xr:uid="{161B9429-381A-49E9-8059-36BF5F8B08A8}"/>
    <cellStyle name="Normal 8 4 6" xfId="1801" xr:uid="{00000000-0005-0000-0000-0000131E0000}"/>
    <cellStyle name="Normal 8 4 6 2" xfId="4031" xr:uid="{00000000-0005-0000-0000-0000141E0000}"/>
    <cellStyle name="Normal 8 4 6 2 2" xfId="8255" xr:uid="{00000000-0005-0000-0000-0000151E0000}"/>
    <cellStyle name="Normal 8 4 6 2 2 2" xfId="16684" xr:uid="{457F0F3C-94B0-4CFF-AA68-54A26F57F525}"/>
    <cellStyle name="Normal 8 4 6 2 2 3" xfId="25112" xr:uid="{BD9A3EA1-8790-46C1-B6DA-CE01CE2CE40B}"/>
    <cellStyle name="Normal 8 4 6 2 3" xfId="12466" xr:uid="{8C77A61D-C7BE-4CAA-8382-9DD5CE1C6AFE}"/>
    <cellStyle name="Normal 8 4 6 2 4" xfId="20895" xr:uid="{BA6DBE19-EE00-43F0-B9C2-734C045680C8}"/>
    <cellStyle name="Normal 8 4 6 3" xfId="6110" xr:uid="{00000000-0005-0000-0000-0000161E0000}"/>
    <cellStyle name="Normal 8 4 6 3 2" xfId="14539" xr:uid="{44326017-7788-43B5-B1FB-8D656147E406}"/>
    <cellStyle name="Normal 8 4 6 3 3" xfId="22967" xr:uid="{292E8D19-C534-4218-A8A0-714EBCA495E4}"/>
    <cellStyle name="Normal 8 4 6 4" xfId="10321" xr:uid="{44A2B29E-6467-46DF-85AC-EAD84702D54F}"/>
    <cellStyle name="Normal 8 4 6 5" xfId="18750" xr:uid="{3DF90DAC-84CF-41AE-BF9A-DA29182624D6}"/>
    <cellStyle name="Normal 8 4 7" xfId="2215" xr:uid="{00000000-0005-0000-0000-0000171E0000}"/>
    <cellStyle name="Normal 8 4 7 2" xfId="4444" xr:uid="{00000000-0005-0000-0000-0000181E0000}"/>
    <cellStyle name="Normal 8 4 7 2 2" xfId="8668" xr:uid="{00000000-0005-0000-0000-0000191E0000}"/>
    <cellStyle name="Normal 8 4 7 2 2 2" xfId="17097" xr:uid="{069804C8-0F65-41A3-B213-2E0833EB27CA}"/>
    <cellStyle name="Normal 8 4 7 2 2 3" xfId="25525" xr:uid="{CF39F088-D4D8-4593-9A3F-D1E4CD021FC7}"/>
    <cellStyle name="Normal 8 4 7 2 3" xfId="12879" xr:uid="{3DB215BC-77FD-4621-9C57-3DF5E7D56950}"/>
    <cellStyle name="Normal 8 4 7 2 4" xfId="21308" xr:uid="{47F94E9D-7E43-471F-933B-4DF67D459B8E}"/>
    <cellStyle name="Normal 8 4 7 3" xfId="6523" xr:uid="{00000000-0005-0000-0000-00001A1E0000}"/>
    <cellStyle name="Normal 8 4 7 3 2" xfId="14952" xr:uid="{97CC25D2-9C74-483E-B2C0-C3989C22342B}"/>
    <cellStyle name="Normal 8 4 7 3 3" xfId="23380" xr:uid="{3DCD23C9-DF3F-4568-9FF1-46FE83D0B2C9}"/>
    <cellStyle name="Normal 8 4 7 4" xfId="10734" xr:uid="{2A993D86-9B3A-48C0-AFEE-011232232FCC}"/>
    <cellStyle name="Normal 8 4 7 5" xfId="19163" xr:uid="{F4C2224D-4943-49A9-9219-EF2595B3F6A9}"/>
    <cellStyle name="Normal 8 4 8" xfId="2651" xr:uid="{00000000-0005-0000-0000-00001B1E0000}"/>
    <cellStyle name="Normal 8 4 8 2" xfId="6936" xr:uid="{00000000-0005-0000-0000-00001C1E0000}"/>
    <cellStyle name="Normal 8 4 8 2 2" xfId="15365" xr:uid="{8B12DE61-81AC-4DB8-B599-0D3A22656FD7}"/>
    <cellStyle name="Normal 8 4 8 2 3" xfId="23793" xr:uid="{AE5A1A37-D9C0-46C6-AB57-0150C145DCBB}"/>
    <cellStyle name="Normal 8 4 8 3" xfId="11147" xr:uid="{CDE82C4F-6E28-4212-8E98-436017881CF5}"/>
    <cellStyle name="Normal 8 4 8 4" xfId="19576" xr:uid="{1234888C-3756-46F8-BCA9-FB41E86DC592}"/>
    <cellStyle name="Normal 8 4 9" xfId="4871" xr:uid="{00000000-0005-0000-0000-00001D1E0000}"/>
    <cellStyle name="Normal 8 4 9 2" xfId="13300" xr:uid="{B5A0A282-C64C-4666-A621-940E2F78E554}"/>
    <cellStyle name="Normal 8 4 9 3" xfId="21728" xr:uid="{3003BF0E-A0D1-4F7E-A21A-980839235A7D}"/>
    <cellStyle name="Normal 8 5" xfId="507" xr:uid="{00000000-0005-0000-0000-00001E1E0000}"/>
    <cellStyle name="Normal 8 5 10" xfId="17515" xr:uid="{864B33C8-CC03-448E-BCD1-9141D40BED63}"/>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63" xr:uid="{D9F4BB48-97A8-4A69-8004-B33F94FAA55E}"/>
    <cellStyle name="Normal 8 5 2 2 2 2 3" xfId="24291" xr:uid="{784BF93A-14E1-4713-AE54-DDE733BACC6E}"/>
    <cellStyle name="Normal 8 5 2 2 2 3" xfId="11645" xr:uid="{2052807A-5B32-458B-88AC-100DA74F0783}"/>
    <cellStyle name="Normal 8 5 2 2 2 4" xfId="20074" xr:uid="{333CCCDE-B3C2-419F-A05E-39A5EFDAD44A}"/>
    <cellStyle name="Normal 8 5 2 2 3" xfId="5289" xr:uid="{00000000-0005-0000-0000-0000231E0000}"/>
    <cellStyle name="Normal 8 5 2 2 3 2" xfId="13718" xr:uid="{F41C528A-37EA-49FD-88D4-1D3A0D4ACB2D}"/>
    <cellStyle name="Normal 8 5 2 2 3 3" xfId="22146" xr:uid="{1CFA2CFB-1A3E-4846-9F07-1B5024377DA0}"/>
    <cellStyle name="Normal 8 5 2 2 4" xfId="9500" xr:uid="{BDD69F26-997C-41E6-B7CB-56706069AEDC}"/>
    <cellStyle name="Normal 8 5 2 2 5" xfId="17929" xr:uid="{62B6A786-616A-433E-9FB3-32C56A97F7ED}"/>
    <cellStyle name="Normal 8 5 2 3" xfId="1393" xr:uid="{00000000-0005-0000-0000-0000241E0000}"/>
    <cellStyle name="Normal 8 5 2 3 2" xfId="3623" xr:uid="{00000000-0005-0000-0000-0000251E0000}"/>
    <cellStyle name="Normal 8 5 2 3 2 2" xfId="7847" xr:uid="{00000000-0005-0000-0000-0000261E0000}"/>
    <cellStyle name="Normal 8 5 2 3 2 2 2" xfId="16276" xr:uid="{D115CC63-D083-4238-9AA2-F556DE5F64E0}"/>
    <cellStyle name="Normal 8 5 2 3 2 2 3" xfId="24704" xr:uid="{7CD19BE8-FBFA-4571-B6D4-45B51289CCF5}"/>
    <cellStyle name="Normal 8 5 2 3 2 3" xfId="12058" xr:uid="{71293498-19E2-4268-B885-DBECEB2B31C5}"/>
    <cellStyle name="Normal 8 5 2 3 2 4" xfId="20487" xr:uid="{DBA87C44-2A7C-4CFF-BFA2-68799342229F}"/>
    <cellStyle name="Normal 8 5 2 3 3" xfId="5702" xr:uid="{00000000-0005-0000-0000-0000271E0000}"/>
    <cellStyle name="Normal 8 5 2 3 3 2" xfId="14131" xr:uid="{73F1000C-B9F5-47EC-B1E9-7EFA3556FDBC}"/>
    <cellStyle name="Normal 8 5 2 3 3 3" xfId="22559" xr:uid="{D326E10D-9551-4222-87E7-C05732BBB94A}"/>
    <cellStyle name="Normal 8 5 2 3 4" xfId="9913" xr:uid="{22F17EB0-34A4-4FAA-952F-18440C85E86A}"/>
    <cellStyle name="Normal 8 5 2 3 5" xfId="18342" xr:uid="{7B8818DF-A056-4306-88EC-5170404C0E80}"/>
    <cellStyle name="Normal 8 5 2 4" xfId="1806" xr:uid="{00000000-0005-0000-0000-0000281E0000}"/>
    <cellStyle name="Normal 8 5 2 4 2" xfId="4036" xr:uid="{00000000-0005-0000-0000-0000291E0000}"/>
    <cellStyle name="Normal 8 5 2 4 2 2" xfId="8260" xr:uid="{00000000-0005-0000-0000-00002A1E0000}"/>
    <cellStyle name="Normal 8 5 2 4 2 2 2" xfId="16689" xr:uid="{9A8106A3-63AF-4108-83DC-C16BD1E6EEBC}"/>
    <cellStyle name="Normal 8 5 2 4 2 2 3" xfId="25117" xr:uid="{A7A8ED7A-EFEF-4BCE-990A-56408FFB1FB8}"/>
    <cellStyle name="Normal 8 5 2 4 2 3" xfId="12471" xr:uid="{21ACC85D-0406-4C44-B467-60791D7B8320}"/>
    <cellStyle name="Normal 8 5 2 4 2 4" xfId="20900" xr:uid="{ED7B00AC-DEF1-415B-8429-BEFAA8CA0C32}"/>
    <cellStyle name="Normal 8 5 2 4 3" xfId="6115" xr:uid="{00000000-0005-0000-0000-00002B1E0000}"/>
    <cellStyle name="Normal 8 5 2 4 3 2" xfId="14544" xr:uid="{795BF595-4D3A-4492-9DAA-01C24C90464D}"/>
    <cellStyle name="Normal 8 5 2 4 3 3" xfId="22972" xr:uid="{723BA502-16FE-4320-A76F-C1E14223FA6D}"/>
    <cellStyle name="Normal 8 5 2 4 4" xfId="10326" xr:uid="{9B187FD3-2AF0-4ACF-8711-CBCF2C118DE0}"/>
    <cellStyle name="Normal 8 5 2 4 5" xfId="18755" xr:uid="{DBD130C4-B4E9-4573-9324-241E836E1958}"/>
    <cellStyle name="Normal 8 5 2 5" xfId="2220" xr:uid="{00000000-0005-0000-0000-00002C1E0000}"/>
    <cellStyle name="Normal 8 5 2 5 2" xfId="4449" xr:uid="{00000000-0005-0000-0000-00002D1E0000}"/>
    <cellStyle name="Normal 8 5 2 5 2 2" xfId="8673" xr:uid="{00000000-0005-0000-0000-00002E1E0000}"/>
    <cellStyle name="Normal 8 5 2 5 2 2 2" xfId="17102" xr:uid="{EBE71013-837C-464D-8913-F5CFE5AE9A55}"/>
    <cellStyle name="Normal 8 5 2 5 2 2 3" xfId="25530" xr:uid="{504F1548-C9E6-4C64-9DF4-5767C818FF5E}"/>
    <cellStyle name="Normal 8 5 2 5 2 3" xfId="12884" xr:uid="{46CB7949-25D0-4171-AB80-429B18968D9D}"/>
    <cellStyle name="Normal 8 5 2 5 2 4" xfId="21313" xr:uid="{FCC9D8C2-AFDB-4FD5-A5F3-FCC177A6507F}"/>
    <cellStyle name="Normal 8 5 2 5 3" xfId="6528" xr:uid="{00000000-0005-0000-0000-00002F1E0000}"/>
    <cellStyle name="Normal 8 5 2 5 3 2" xfId="14957" xr:uid="{DD10281B-E3D7-42FD-A7AE-112731EC32E6}"/>
    <cellStyle name="Normal 8 5 2 5 3 3" xfId="23385" xr:uid="{1AF00354-3469-474A-BE9E-AF997B42EBF2}"/>
    <cellStyle name="Normal 8 5 2 5 4" xfId="10739" xr:uid="{4CDD3EDD-B2FE-46F4-A894-A774F543393E}"/>
    <cellStyle name="Normal 8 5 2 5 5" xfId="19168" xr:uid="{0277AB9F-1CF6-4C22-B29A-3A23356390EE}"/>
    <cellStyle name="Normal 8 5 2 6" xfId="2656" xr:uid="{00000000-0005-0000-0000-0000301E0000}"/>
    <cellStyle name="Normal 8 5 2 6 2" xfId="6941" xr:uid="{00000000-0005-0000-0000-0000311E0000}"/>
    <cellStyle name="Normal 8 5 2 6 2 2" xfId="15370" xr:uid="{92D3B9B3-43A4-4AEF-92E8-96F4E45F0B27}"/>
    <cellStyle name="Normal 8 5 2 6 2 3" xfId="23798" xr:uid="{2A734019-7B62-4D77-95C8-F891E9724F4E}"/>
    <cellStyle name="Normal 8 5 2 6 3" xfId="11152" xr:uid="{6D96D7FD-F930-4BBB-82D9-0BCFEB36FDFF}"/>
    <cellStyle name="Normal 8 5 2 6 4" xfId="19581" xr:uid="{5D4DEE14-E61D-4B71-9AA1-AD8FF5C3912B}"/>
    <cellStyle name="Normal 8 5 2 7" xfId="4876" xr:uid="{00000000-0005-0000-0000-0000321E0000}"/>
    <cellStyle name="Normal 8 5 2 7 2" xfId="13305" xr:uid="{5A63F7F4-0A90-4F22-ACB6-A280D7179523}"/>
    <cellStyle name="Normal 8 5 2 7 3" xfId="21733" xr:uid="{EF9B1909-2520-46AA-9A55-47CB867109D5}"/>
    <cellStyle name="Normal 8 5 2 8" xfId="9087" xr:uid="{D62C6F90-A124-4274-B947-29F396E1ADB9}"/>
    <cellStyle name="Normal 8 5 2 9" xfId="17516" xr:uid="{485983F4-B1DE-4466-B51B-E71F782C7E6A}"/>
    <cellStyle name="Normal 8 5 3" xfId="975" xr:uid="{00000000-0005-0000-0000-0000331E0000}"/>
    <cellStyle name="Normal 8 5 3 2" xfId="3209" xr:uid="{00000000-0005-0000-0000-0000341E0000}"/>
    <cellStyle name="Normal 8 5 3 2 2" xfId="7433" xr:uid="{00000000-0005-0000-0000-0000351E0000}"/>
    <cellStyle name="Normal 8 5 3 2 2 2" xfId="15862" xr:uid="{09F12773-8108-42A8-8F2E-7B01A027F0A4}"/>
    <cellStyle name="Normal 8 5 3 2 2 3" xfId="24290" xr:uid="{0F008B33-AD08-4B7C-8A74-93228196A4AB}"/>
    <cellStyle name="Normal 8 5 3 2 3" xfId="11644" xr:uid="{474529F9-846D-425C-AA52-E548FF05EA35}"/>
    <cellStyle name="Normal 8 5 3 2 4" xfId="20073" xr:uid="{733A8E79-DAC3-4466-82EA-D5FCD97D9EE1}"/>
    <cellStyle name="Normal 8 5 3 3" xfId="5288" xr:uid="{00000000-0005-0000-0000-0000361E0000}"/>
    <cellStyle name="Normal 8 5 3 3 2" xfId="13717" xr:uid="{6910180C-29A5-4A84-A561-E722D29F74C9}"/>
    <cellStyle name="Normal 8 5 3 3 3" xfId="22145" xr:uid="{B41D96BE-D1B2-4CD4-A6AD-F9E056B9D9A9}"/>
    <cellStyle name="Normal 8 5 3 4" xfId="9499" xr:uid="{D65DA293-C174-49F9-9E35-79A9D35626E2}"/>
    <cellStyle name="Normal 8 5 3 5" xfId="17928" xr:uid="{DAE15F7A-B680-47FB-B3B8-82C6EA03AD20}"/>
    <cellStyle name="Normal 8 5 4" xfId="1392" xr:uid="{00000000-0005-0000-0000-0000371E0000}"/>
    <cellStyle name="Normal 8 5 4 2" xfId="3622" xr:uid="{00000000-0005-0000-0000-0000381E0000}"/>
    <cellStyle name="Normal 8 5 4 2 2" xfId="7846" xr:uid="{00000000-0005-0000-0000-0000391E0000}"/>
    <cellStyle name="Normal 8 5 4 2 2 2" xfId="16275" xr:uid="{8E38B15E-FA10-40FA-A620-76FA807485F0}"/>
    <cellStyle name="Normal 8 5 4 2 2 3" xfId="24703" xr:uid="{30C5C43D-6FC7-4EE9-98F4-0E94DFAB4A92}"/>
    <cellStyle name="Normal 8 5 4 2 3" xfId="12057" xr:uid="{507B6E19-87BB-4A99-B833-6E813A9F4C7F}"/>
    <cellStyle name="Normal 8 5 4 2 4" xfId="20486" xr:uid="{DA485738-905E-4ED8-87B4-F827AE46932E}"/>
    <cellStyle name="Normal 8 5 4 3" xfId="5701" xr:uid="{00000000-0005-0000-0000-00003A1E0000}"/>
    <cellStyle name="Normal 8 5 4 3 2" xfId="14130" xr:uid="{24B6124E-FAE7-4917-9008-0F4E55C4DFF3}"/>
    <cellStyle name="Normal 8 5 4 3 3" xfId="22558" xr:uid="{ACCC03D0-E785-4FC1-935A-FE3821774224}"/>
    <cellStyle name="Normal 8 5 4 4" xfId="9912" xr:uid="{5017E23A-0D59-4AB6-A7F8-FB0F0AE2826A}"/>
    <cellStyle name="Normal 8 5 4 5" xfId="18341" xr:uid="{85753BF8-3137-46C9-A14A-8808D9AE470A}"/>
    <cellStyle name="Normal 8 5 5" xfId="1805" xr:uid="{00000000-0005-0000-0000-00003B1E0000}"/>
    <cellStyle name="Normal 8 5 5 2" xfId="4035" xr:uid="{00000000-0005-0000-0000-00003C1E0000}"/>
    <cellStyle name="Normal 8 5 5 2 2" xfId="8259" xr:uid="{00000000-0005-0000-0000-00003D1E0000}"/>
    <cellStyle name="Normal 8 5 5 2 2 2" xfId="16688" xr:uid="{70BA2E93-2304-48BD-BFFD-59D12D62878D}"/>
    <cellStyle name="Normal 8 5 5 2 2 3" xfId="25116" xr:uid="{BE1BF276-CBA0-4D42-B799-0CCC8D912CE7}"/>
    <cellStyle name="Normal 8 5 5 2 3" xfId="12470" xr:uid="{15328852-2C48-493D-964E-FB4F3674CF96}"/>
    <cellStyle name="Normal 8 5 5 2 4" xfId="20899" xr:uid="{7163312A-E304-47C6-B6FE-C8AF4EDBBD0B}"/>
    <cellStyle name="Normal 8 5 5 3" xfId="6114" xr:uid="{00000000-0005-0000-0000-00003E1E0000}"/>
    <cellStyle name="Normal 8 5 5 3 2" xfId="14543" xr:uid="{C240161F-924F-44BE-88FB-966A431F1DB4}"/>
    <cellStyle name="Normal 8 5 5 3 3" xfId="22971" xr:uid="{9738DAA4-0BFA-4C5B-9E85-D2C7A5128D62}"/>
    <cellStyle name="Normal 8 5 5 4" xfId="10325" xr:uid="{AE818E81-1B69-402D-BB66-C402770AD5EF}"/>
    <cellStyle name="Normal 8 5 5 5" xfId="18754" xr:uid="{2EEFCA72-3211-4BAE-A314-1715882E9584}"/>
    <cellStyle name="Normal 8 5 6" xfId="2219" xr:uid="{00000000-0005-0000-0000-00003F1E0000}"/>
    <cellStyle name="Normal 8 5 6 2" xfId="4448" xr:uid="{00000000-0005-0000-0000-0000401E0000}"/>
    <cellStyle name="Normal 8 5 6 2 2" xfId="8672" xr:uid="{00000000-0005-0000-0000-0000411E0000}"/>
    <cellStyle name="Normal 8 5 6 2 2 2" xfId="17101" xr:uid="{6BAC89E9-5871-4F70-AD05-B00AEC03E3E2}"/>
    <cellStyle name="Normal 8 5 6 2 2 3" xfId="25529" xr:uid="{86073C67-8219-4523-999D-8CBB7E7E813A}"/>
    <cellStyle name="Normal 8 5 6 2 3" xfId="12883" xr:uid="{0E79D30E-8ADD-4FC6-A07D-561419F00516}"/>
    <cellStyle name="Normal 8 5 6 2 4" xfId="21312" xr:uid="{50113B47-DFB4-46FA-ADE3-1FAF3AF74F1D}"/>
    <cellStyle name="Normal 8 5 6 3" xfId="6527" xr:uid="{00000000-0005-0000-0000-0000421E0000}"/>
    <cellStyle name="Normal 8 5 6 3 2" xfId="14956" xr:uid="{7932C758-7C4F-4A12-AAB3-5972CCAA9BF1}"/>
    <cellStyle name="Normal 8 5 6 3 3" xfId="23384" xr:uid="{C8257C4A-1DBB-4AD7-8E0F-AE25BD59348A}"/>
    <cellStyle name="Normal 8 5 6 4" xfId="10738" xr:uid="{19BCB527-6667-4D1A-A724-63128768957D}"/>
    <cellStyle name="Normal 8 5 6 5" xfId="19167" xr:uid="{8C70FB1A-CCBA-47DA-867B-441DBE790FC3}"/>
    <cellStyle name="Normal 8 5 7" xfId="2655" xr:uid="{00000000-0005-0000-0000-0000431E0000}"/>
    <cellStyle name="Normal 8 5 7 2" xfId="6940" xr:uid="{00000000-0005-0000-0000-0000441E0000}"/>
    <cellStyle name="Normal 8 5 7 2 2" xfId="15369" xr:uid="{C5DD83FC-0633-4F65-A897-7988FE08AECA}"/>
    <cellStyle name="Normal 8 5 7 2 3" xfId="23797" xr:uid="{548A4923-CFAF-4C30-9EA2-DEA79F1DD4B0}"/>
    <cellStyle name="Normal 8 5 7 3" xfId="11151" xr:uid="{0450CAE2-6915-49C3-894F-3DC1C9BA344D}"/>
    <cellStyle name="Normal 8 5 7 4" xfId="19580" xr:uid="{FCAFD373-192E-4F54-9213-A94329EA940C}"/>
    <cellStyle name="Normal 8 5 8" xfId="4875" xr:uid="{00000000-0005-0000-0000-0000451E0000}"/>
    <cellStyle name="Normal 8 5 8 2" xfId="13304" xr:uid="{D7DC7DCE-8B45-4149-B39B-057264AFD667}"/>
    <cellStyle name="Normal 8 5 8 3" xfId="21732" xr:uid="{566F9E36-61B5-4351-A768-DCD90761EFAB}"/>
    <cellStyle name="Normal 8 5 9" xfId="9086" xr:uid="{0924C22D-0AFB-4F43-9656-DF5F55D7DCA6}"/>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64" xr:uid="{6879BF3D-1F58-4D6F-A0E4-E988AC8349FF}"/>
    <cellStyle name="Normal 8 6 2 2 2 3" xfId="24292" xr:uid="{34A403C9-A652-45E0-B583-4F36DB1767CB}"/>
    <cellStyle name="Normal 8 6 2 2 3" xfId="11646" xr:uid="{73D41664-11A6-4FF5-9EF4-90BB0CA0139C}"/>
    <cellStyle name="Normal 8 6 2 2 4" xfId="20075" xr:uid="{881F0934-7D10-4D78-BB70-930A6E710AD6}"/>
    <cellStyle name="Normal 8 6 2 3" xfId="5290" xr:uid="{00000000-0005-0000-0000-00004A1E0000}"/>
    <cellStyle name="Normal 8 6 2 3 2" xfId="13719" xr:uid="{466FCCFA-CAE6-45FB-BC18-0F67B0CEB316}"/>
    <cellStyle name="Normal 8 6 2 3 3" xfId="22147" xr:uid="{99F2BA33-E7EC-4AB4-83AD-0485F9AEFBA8}"/>
    <cellStyle name="Normal 8 6 2 4" xfId="9501" xr:uid="{E941F34C-A7BE-453E-9F4C-0E92A5070743}"/>
    <cellStyle name="Normal 8 6 2 5" xfId="17930" xr:uid="{148B11B8-921B-4276-A572-DABD8BD53384}"/>
    <cellStyle name="Normal 8 6 3" xfId="1394" xr:uid="{00000000-0005-0000-0000-00004B1E0000}"/>
    <cellStyle name="Normal 8 6 3 2" xfId="3624" xr:uid="{00000000-0005-0000-0000-00004C1E0000}"/>
    <cellStyle name="Normal 8 6 3 2 2" xfId="7848" xr:uid="{00000000-0005-0000-0000-00004D1E0000}"/>
    <cellStyle name="Normal 8 6 3 2 2 2" xfId="16277" xr:uid="{1E52489A-D9AE-4511-BDC2-3CF11E44386A}"/>
    <cellStyle name="Normal 8 6 3 2 2 3" xfId="24705" xr:uid="{3F69A241-1697-4CEC-8C4E-4F46A93BFCCD}"/>
    <cellStyle name="Normal 8 6 3 2 3" xfId="12059" xr:uid="{BBDEA03E-B5D2-4490-BC59-52145BE8134D}"/>
    <cellStyle name="Normal 8 6 3 2 4" xfId="20488" xr:uid="{DB8EB452-8E67-46F1-B0C2-F99742F9D22F}"/>
    <cellStyle name="Normal 8 6 3 3" xfId="5703" xr:uid="{00000000-0005-0000-0000-00004E1E0000}"/>
    <cellStyle name="Normal 8 6 3 3 2" xfId="14132" xr:uid="{9ACE97FE-126E-45D5-8F25-938C7E30F402}"/>
    <cellStyle name="Normal 8 6 3 3 3" xfId="22560" xr:uid="{431480CD-779C-4A04-A789-536A00D40C10}"/>
    <cellStyle name="Normal 8 6 3 4" xfId="9914" xr:uid="{13A4A07F-96F6-4255-AE82-0295E6581034}"/>
    <cellStyle name="Normal 8 6 3 5" xfId="18343" xr:uid="{9DAD24B2-0B65-42E6-B623-948925C9B9BE}"/>
    <cellStyle name="Normal 8 6 4" xfId="1807" xr:uid="{00000000-0005-0000-0000-00004F1E0000}"/>
    <cellStyle name="Normal 8 6 4 2" xfId="4037" xr:uid="{00000000-0005-0000-0000-0000501E0000}"/>
    <cellStyle name="Normal 8 6 4 2 2" xfId="8261" xr:uid="{00000000-0005-0000-0000-0000511E0000}"/>
    <cellStyle name="Normal 8 6 4 2 2 2" xfId="16690" xr:uid="{74A327FE-76D6-4294-8991-8764859D2B11}"/>
    <cellStyle name="Normal 8 6 4 2 2 3" xfId="25118" xr:uid="{3B608CED-1406-43F8-B38F-44ACB342AC7B}"/>
    <cellStyle name="Normal 8 6 4 2 3" xfId="12472" xr:uid="{D5D2CBF8-D405-4BC3-B789-93B812D2BFDA}"/>
    <cellStyle name="Normal 8 6 4 2 4" xfId="20901" xr:uid="{D60F56DF-974F-47F6-8730-7C2EA7BCCAC5}"/>
    <cellStyle name="Normal 8 6 4 3" xfId="6116" xr:uid="{00000000-0005-0000-0000-0000521E0000}"/>
    <cellStyle name="Normal 8 6 4 3 2" xfId="14545" xr:uid="{FD072E1C-9C5D-4EFD-B191-B80F012934C7}"/>
    <cellStyle name="Normal 8 6 4 3 3" xfId="22973" xr:uid="{58FB9B86-F1B8-437C-AD6F-15F2FAA7F2A7}"/>
    <cellStyle name="Normal 8 6 4 4" xfId="10327" xr:uid="{1AB72E78-8C04-449B-8C25-41497020DC82}"/>
    <cellStyle name="Normal 8 6 4 5" xfId="18756" xr:uid="{1DF87C76-C736-4DEA-93C1-DE814E387F6C}"/>
    <cellStyle name="Normal 8 6 5" xfId="2221" xr:uid="{00000000-0005-0000-0000-0000531E0000}"/>
    <cellStyle name="Normal 8 6 5 2" xfId="4450" xr:uid="{00000000-0005-0000-0000-0000541E0000}"/>
    <cellStyle name="Normal 8 6 5 2 2" xfId="8674" xr:uid="{00000000-0005-0000-0000-0000551E0000}"/>
    <cellStyle name="Normal 8 6 5 2 2 2" xfId="17103" xr:uid="{8FD52721-EC95-4D37-A981-91A43FC151C9}"/>
    <cellStyle name="Normal 8 6 5 2 2 3" xfId="25531" xr:uid="{7C49A164-2F28-416F-AECF-075B0802FA60}"/>
    <cellStyle name="Normal 8 6 5 2 3" xfId="12885" xr:uid="{61401422-62A1-4EF9-8419-568FA643116F}"/>
    <cellStyle name="Normal 8 6 5 2 4" xfId="21314" xr:uid="{A540A5B7-98AE-4DEF-8F3E-B1FF9E03578F}"/>
    <cellStyle name="Normal 8 6 5 3" xfId="6529" xr:uid="{00000000-0005-0000-0000-0000561E0000}"/>
    <cellStyle name="Normal 8 6 5 3 2" xfId="14958" xr:uid="{553E9DB7-E26D-408D-9206-0978E4407811}"/>
    <cellStyle name="Normal 8 6 5 3 3" xfId="23386" xr:uid="{7335B2DD-CA8E-47B4-BB2F-EECAFF08EF91}"/>
    <cellStyle name="Normal 8 6 5 4" xfId="10740" xr:uid="{5ED765F9-19A8-469E-9EB3-CC33918A3D2A}"/>
    <cellStyle name="Normal 8 6 5 5" xfId="19169" xr:uid="{7E97800C-246A-427D-BEF1-39923A9373B1}"/>
    <cellStyle name="Normal 8 6 6" xfId="2657" xr:uid="{00000000-0005-0000-0000-0000571E0000}"/>
    <cellStyle name="Normal 8 6 6 2" xfId="6942" xr:uid="{00000000-0005-0000-0000-0000581E0000}"/>
    <cellStyle name="Normal 8 6 6 2 2" xfId="15371" xr:uid="{617B7B8E-F8AF-4ED7-A8C7-1B8E82238974}"/>
    <cellStyle name="Normal 8 6 6 2 3" xfId="23799" xr:uid="{5C32BDD5-9DF9-4DDE-AC63-6E156630EF88}"/>
    <cellStyle name="Normal 8 6 6 3" xfId="11153" xr:uid="{EC2721AB-B0D6-4A2E-993C-53E6EB74BCF0}"/>
    <cellStyle name="Normal 8 6 6 4" xfId="19582" xr:uid="{A1D0CC1B-D018-4529-B8F4-D5DC7D5D2A7C}"/>
    <cellStyle name="Normal 8 6 7" xfId="4877" xr:uid="{00000000-0005-0000-0000-0000591E0000}"/>
    <cellStyle name="Normal 8 6 7 2" xfId="13306" xr:uid="{00D73033-C41C-4178-9B3D-0C8457C55EDF}"/>
    <cellStyle name="Normal 8 6 7 3" xfId="21734" xr:uid="{CA28273F-D71B-4D96-87FE-B4E3B7575A15}"/>
    <cellStyle name="Normal 8 6 8" xfId="9088" xr:uid="{A0A9046A-CC07-46E4-A14C-105D1B74F44D}"/>
    <cellStyle name="Normal 8 6 9" xfId="17517" xr:uid="{92B1978A-1165-4878-BE9F-6FC836A82419}"/>
    <cellStyle name="Normal 8 7" xfId="946" xr:uid="{00000000-0005-0000-0000-00005A1E0000}"/>
    <cellStyle name="Normal 8 7 2" xfId="3180" xr:uid="{00000000-0005-0000-0000-00005B1E0000}"/>
    <cellStyle name="Normal 8 7 2 2" xfId="7404" xr:uid="{00000000-0005-0000-0000-00005C1E0000}"/>
    <cellStyle name="Normal 8 7 2 2 2" xfId="15833" xr:uid="{03E005A6-0ECC-487B-B432-07E47B8CD484}"/>
    <cellStyle name="Normal 8 7 2 2 3" xfId="24261" xr:uid="{0311D2FD-2C85-4845-9C40-7A83DAF2F7E4}"/>
    <cellStyle name="Normal 8 7 2 3" xfId="11615" xr:uid="{20A3E7D8-6ACF-4C84-95CB-1481FEEBC10C}"/>
    <cellStyle name="Normal 8 7 2 4" xfId="20044" xr:uid="{4021999E-BD8D-4695-B2CA-0357011A3AB2}"/>
    <cellStyle name="Normal 8 7 3" xfId="5259" xr:uid="{00000000-0005-0000-0000-00005D1E0000}"/>
    <cellStyle name="Normal 8 7 3 2" xfId="13688" xr:uid="{95EF5FAB-A785-419E-B724-293F930C7DD6}"/>
    <cellStyle name="Normal 8 7 3 3" xfId="22116" xr:uid="{3314BFB1-619A-4B59-B9CC-A1AB34BE764F}"/>
    <cellStyle name="Normal 8 7 4" xfId="9470" xr:uid="{A8D4984A-143C-495F-A547-D79BA293F641}"/>
    <cellStyle name="Normal 8 7 5" xfId="17899" xr:uid="{8DC011E2-CC9E-46CF-B152-4372CC0F3FFF}"/>
    <cellStyle name="Normal 8 8" xfId="1363" xr:uid="{00000000-0005-0000-0000-00005E1E0000}"/>
    <cellStyle name="Normal 8 8 2" xfId="3593" xr:uid="{00000000-0005-0000-0000-00005F1E0000}"/>
    <cellStyle name="Normal 8 8 2 2" xfId="7817" xr:uid="{00000000-0005-0000-0000-0000601E0000}"/>
    <cellStyle name="Normal 8 8 2 2 2" xfId="16246" xr:uid="{A0E67597-5BBC-42CD-8490-633A3BCBD39B}"/>
    <cellStyle name="Normal 8 8 2 2 3" xfId="24674" xr:uid="{444D2F3D-EA5F-42F6-966A-9CAC0C777A22}"/>
    <cellStyle name="Normal 8 8 2 3" xfId="12028" xr:uid="{4418DB28-E46F-41D6-91E7-9A8A8EBEC442}"/>
    <cellStyle name="Normal 8 8 2 4" xfId="20457" xr:uid="{E943BE5C-FC95-4A22-9E82-51A03DCFD26B}"/>
    <cellStyle name="Normal 8 8 3" xfId="5672" xr:uid="{00000000-0005-0000-0000-0000611E0000}"/>
    <cellStyle name="Normal 8 8 3 2" xfId="14101" xr:uid="{E2463496-D718-4DD5-8463-60327A1626F1}"/>
    <cellStyle name="Normal 8 8 3 3" xfId="22529" xr:uid="{7051DA38-2964-4E4A-BE86-D77584EAEFE3}"/>
    <cellStyle name="Normal 8 8 4" xfId="9883" xr:uid="{24686604-D7FF-4BAA-9B8A-8C9752CB7556}"/>
    <cellStyle name="Normal 8 8 5" xfId="18312" xr:uid="{897E7488-9DA8-4857-B677-7324A571637D}"/>
    <cellStyle name="Normal 8 9" xfId="1776" xr:uid="{00000000-0005-0000-0000-0000621E0000}"/>
    <cellStyle name="Normal 8 9 2" xfId="4006" xr:uid="{00000000-0005-0000-0000-0000631E0000}"/>
    <cellStyle name="Normal 8 9 2 2" xfId="8230" xr:uid="{00000000-0005-0000-0000-0000641E0000}"/>
    <cellStyle name="Normal 8 9 2 2 2" xfId="16659" xr:uid="{12610E67-00F2-4519-ADB8-D373E8A31565}"/>
    <cellStyle name="Normal 8 9 2 2 3" xfId="25087" xr:uid="{F30EA1C9-0191-4A6D-88CC-1FFB1C8DF924}"/>
    <cellStyle name="Normal 8 9 2 3" xfId="12441" xr:uid="{3618A3EC-E9E3-4C16-9908-4E405FC4EBCA}"/>
    <cellStyle name="Normal 8 9 2 4" xfId="20870" xr:uid="{9EFF4FC8-0F31-4A4B-8595-AD58ACE5B60A}"/>
    <cellStyle name="Normal 8 9 3" xfId="6085" xr:uid="{00000000-0005-0000-0000-0000651E0000}"/>
    <cellStyle name="Normal 8 9 3 2" xfId="14514" xr:uid="{4C4F3171-393F-4AD4-9921-2BD3E358D2C9}"/>
    <cellStyle name="Normal 8 9 3 3" xfId="22942" xr:uid="{3E19CFBA-5C19-4306-AE37-FF424ED93292}"/>
    <cellStyle name="Normal 8 9 4" xfId="10296" xr:uid="{246ADA21-7FD0-4474-842E-1153C0697FAE}"/>
    <cellStyle name="Normal 8 9 5" xfId="18725" xr:uid="{697A34A2-7C0F-4B0E-A1C2-46D84DF7F567}"/>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72" xr:uid="{318A0BBA-9066-4893-8DF3-C8A67F487D99}"/>
    <cellStyle name="Normal 9 2 10 2 3" xfId="23800" xr:uid="{9FA15873-2CEC-424D-8887-4FFD91FE9390}"/>
    <cellStyle name="Normal 9 2 10 3" xfId="11154" xr:uid="{671B19BA-B893-4301-85E4-A4A00A989B3C}"/>
    <cellStyle name="Normal 9 2 10 4" xfId="19583" xr:uid="{921424C6-3E40-478C-9E27-8BA93C8089E5}"/>
    <cellStyle name="Normal 9 2 11" xfId="4878" xr:uid="{00000000-0005-0000-0000-00006A1E0000}"/>
    <cellStyle name="Normal 9 2 11 2" xfId="13307" xr:uid="{6B90379C-6247-431A-97BD-18044A2893C4}"/>
    <cellStyle name="Normal 9 2 11 3" xfId="21735" xr:uid="{1FC5B0EB-BE62-4EEF-B5FA-CA43D18ED967}"/>
    <cellStyle name="Normal 9 2 12" xfId="9089" xr:uid="{CA264B23-88C5-434D-96D1-B199A77BDFA5}"/>
    <cellStyle name="Normal 9 2 13" xfId="17518" xr:uid="{2D6D270B-23C7-45BA-BDD7-B21E35E16A17}"/>
    <cellStyle name="Normal 9 2 2" xfId="512" xr:uid="{00000000-0005-0000-0000-00006B1E0000}"/>
    <cellStyle name="Normal 9 2 2 10" xfId="4879" xr:uid="{00000000-0005-0000-0000-00006C1E0000}"/>
    <cellStyle name="Normal 9 2 2 10 2" xfId="13308" xr:uid="{F4EAC61F-2C25-425D-8586-13F13DA25412}"/>
    <cellStyle name="Normal 9 2 2 10 3" xfId="21736" xr:uid="{19110F4A-4DE1-4223-868C-6FE3634D1B39}"/>
    <cellStyle name="Normal 9 2 2 11" xfId="9090" xr:uid="{63AA86A9-BBDE-4ADD-9F68-65BA8653E9C9}"/>
    <cellStyle name="Normal 9 2 2 12" xfId="17519" xr:uid="{B784CD29-D4E0-4DC4-9AB5-7A738F233847}"/>
    <cellStyle name="Normal 9 2 2 2" xfId="513" xr:uid="{00000000-0005-0000-0000-00006D1E0000}"/>
    <cellStyle name="Normal 9 2 2 2 10" xfId="9091" xr:uid="{674CD089-EE82-4C9F-84E2-95796CB9C203}"/>
    <cellStyle name="Normal 9 2 2 2 11" xfId="17520" xr:uid="{3D4BD182-6A72-4285-82D4-AA810DB6F426}"/>
    <cellStyle name="Normal 9 2 2 2 2" xfId="514" xr:uid="{00000000-0005-0000-0000-00006E1E0000}"/>
    <cellStyle name="Normal 9 2 2 2 2 10" xfId="17521" xr:uid="{4950C7E9-17E3-4D1F-A075-DCE7DF98541A}"/>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9" xr:uid="{32AED5EA-2472-452E-9B8E-B2F61073D479}"/>
    <cellStyle name="Normal 9 2 2 2 2 2 2 2 2 3" xfId="24297" xr:uid="{3698EC27-B2B7-425C-9DAB-4C380D3D7808}"/>
    <cellStyle name="Normal 9 2 2 2 2 2 2 2 3" xfId="11651" xr:uid="{8E33C9F0-B53B-4A27-8A61-04927ABE209F}"/>
    <cellStyle name="Normal 9 2 2 2 2 2 2 2 4" xfId="20080" xr:uid="{B6CE0E96-FF37-4E28-9A49-C1FB7B65C64E}"/>
    <cellStyle name="Normal 9 2 2 2 2 2 2 3" xfId="5295" xr:uid="{00000000-0005-0000-0000-0000731E0000}"/>
    <cellStyle name="Normal 9 2 2 2 2 2 2 3 2" xfId="13724" xr:uid="{D98245AD-536B-4789-A519-58428FA57E33}"/>
    <cellStyle name="Normal 9 2 2 2 2 2 2 3 3" xfId="22152" xr:uid="{AB80A016-171E-4B80-B9E9-41380FFAF948}"/>
    <cellStyle name="Normal 9 2 2 2 2 2 2 4" xfId="9506" xr:uid="{13805E83-ADA9-48CC-90BA-BF4048BA6DE4}"/>
    <cellStyle name="Normal 9 2 2 2 2 2 2 5" xfId="17935" xr:uid="{872D9196-E3F0-4B43-BDD9-2E5EDD2A998E}"/>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82" xr:uid="{AC995815-B7C6-405B-9D86-639FAD1105F9}"/>
    <cellStyle name="Normal 9 2 2 2 2 2 3 2 2 3" xfId="24710" xr:uid="{3DCCB94E-91AB-4270-9D18-AEFAA5E0E8D9}"/>
    <cellStyle name="Normal 9 2 2 2 2 2 3 2 3" xfId="12064" xr:uid="{09756C94-56C0-4FEE-959E-5486623B2D02}"/>
    <cellStyle name="Normal 9 2 2 2 2 2 3 2 4" xfId="20493" xr:uid="{4EA8AC74-93B5-42C3-9E8D-DB5FC97AF1B2}"/>
    <cellStyle name="Normal 9 2 2 2 2 2 3 3" xfId="5708" xr:uid="{00000000-0005-0000-0000-0000771E0000}"/>
    <cellStyle name="Normal 9 2 2 2 2 2 3 3 2" xfId="14137" xr:uid="{504EC7AB-4CDB-4F7C-9563-7AFEC63C4440}"/>
    <cellStyle name="Normal 9 2 2 2 2 2 3 3 3" xfId="22565" xr:uid="{02FDE9EE-A9FA-4169-BBEF-EA2597430DE6}"/>
    <cellStyle name="Normal 9 2 2 2 2 2 3 4" xfId="9919" xr:uid="{E44CE93C-D50D-4369-941F-4824BE3BFA1E}"/>
    <cellStyle name="Normal 9 2 2 2 2 2 3 5" xfId="18348" xr:uid="{9AA1B7AE-F9DF-444B-8715-5F252FD63397}"/>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95" xr:uid="{A2B802F1-D5CA-4AF9-88D1-879FAE9A9946}"/>
    <cellStyle name="Normal 9 2 2 2 2 2 4 2 2 3" xfId="25123" xr:uid="{D042E7E5-F36E-4473-9BE8-CFA92156C8FE}"/>
    <cellStyle name="Normal 9 2 2 2 2 2 4 2 3" xfId="12477" xr:uid="{70390F0F-0D97-42EA-B85E-F4951BC64648}"/>
    <cellStyle name="Normal 9 2 2 2 2 2 4 2 4" xfId="20906" xr:uid="{CFFE2715-F9AD-430A-9E7A-B95C922249DE}"/>
    <cellStyle name="Normal 9 2 2 2 2 2 4 3" xfId="6121" xr:uid="{00000000-0005-0000-0000-00007B1E0000}"/>
    <cellStyle name="Normal 9 2 2 2 2 2 4 3 2" xfId="14550" xr:uid="{8906CF6C-3D35-473D-B051-433C88A8C93E}"/>
    <cellStyle name="Normal 9 2 2 2 2 2 4 3 3" xfId="22978" xr:uid="{F325CBA5-88FB-4B31-9612-98928EB64463}"/>
    <cellStyle name="Normal 9 2 2 2 2 2 4 4" xfId="10332" xr:uid="{33D04841-BDDA-466C-93D9-5BC6CAD31B46}"/>
    <cellStyle name="Normal 9 2 2 2 2 2 4 5" xfId="18761" xr:uid="{259F5B3C-49FB-4CBA-8A58-3CB817376274}"/>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8" xr:uid="{10BDDE5F-A068-448F-8809-0B940409649A}"/>
    <cellStyle name="Normal 9 2 2 2 2 2 5 2 2 3" xfId="25536" xr:uid="{5AF35313-4C90-42E9-BDCA-605B424964EF}"/>
    <cellStyle name="Normal 9 2 2 2 2 2 5 2 3" xfId="12890" xr:uid="{5EF37DC6-A49C-4C9F-99B3-0CE330317B6D}"/>
    <cellStyle name="Normal 9 2 2 2 2 2 5 2 4" xfId="21319" xr:uid="{9D4AF2A7-F367-40FE-B638-1B8AEEB1BFC9}"/>
    <cellStyle name="Normal 9 2 2 2 2 2 5 3" xfId="6534" xr:uid="{00000000-0005-0000-0000-00007F1E0000}"/>
    <cellStyle name="Normal 9 2 2 2 2 2 5 3 2" xfId="14963" xr:uid="{18DB51A5-2B2F-4509-B905-63A2A3DD76B9}"/>
    <cellStyle name="Normal 9 2 2 2 2 2 5 3 3" xfId="23391" xr:uid="{9AE0CCB1-7F72-494E-9886-D4430BAF54FD}"/>
    <cellStyle name="Normal 9 2 2 2 2 2 5 4" xfId="10745" xr:uid="{3D298D52-040F-4F16-BAC3-D54553FE27C5}"/>
    <cellStyle name="Normal 9 2 2 2 2 2 5 5" xfId="19174" xr:uid="{D92E85A5-3BC3-4382-8BDA-C03ED4FC4FD5}"/>
    <cellStyle name="Normal 9 2 2 2 2 2 6" xfId="2662" xr:uid="{00000000-0005-0000-0000-0000801E0000}"/>
    <cellStyle name="Normal 9 2 2 2 2 2 6 2" xfId="6947" xr:uid="{00000000-0005-0000-0000-0000811E0000}"/>
    <cellStyle name="Normal 9 2 2 2 2 2 6 2 2" xfId="15376" xr:uid="{AB47D189-F4DC-480E-9CCE-1FEB16B1C19D}"/>
    <cellStyle name="Normal 9 2 2 2 2 2 6 2 3" xfId="23804" xr:uid="{BB49A021-F9AF-4182-BB10-6D4314F5D3A7}"/>
    <cellStyle name="Normal 9 2 2 2 2 2 6 3" xfId="11158" xr:uid="{CFAE2E15-AD7A-4E59-8E07-6755E493BCE0}"/>
    <cellStyle name="Normal 9 2 2 2 2 2 6 4" xfId="19587" xr:uid="{23B7AB14-5DDE-47EA-A9D4-0F57349AF60E}"/>
    <cellStyle name="Normal 9 2 2 2 2 2 7" xfId="4882" xr:uid="{00000000-0005-0000-0000-0000821E0000}"/>
    <cellStyle name="Normal 9 2 2 2 2 2 7 2" xfId="13311" xr:uid="{B2771C0C-71B1-4E7E-A107-F67F8B635F1D}"/>
    <cellStyle name="Normal 9 2 2 2 2 2 7 3" xfId="21739" xr:uid="{B75718C2-17B9-4391-ADB0-0DE131F25862}"/>
    <cellStyle name="Normal 9 2 2 2 2 2 8" xfId="9093" xr:uid="{F07E89BD-BD3B-45EF-BF7B-6E9BA1E0B952}"/>
    <cellStyle name="Normal 9 2 2 2 2 2 9" xfId="17522" xr:uid="{9A59CA94-2AF6-42D7-BE6B-D5B0946B07E8}"/>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8" xr:uid="{A34A18D6-ECB4-4633-B709-7BDF0A2758B5}"/>
    <cellStyle name="Normal 9 2 2 2 2 3 2 2 3" xfId="24296" xr:uid="{9B8A3096-FF2F-446A-B182-37AB888AC5C7}"/>
    <cellStyle name="Normal 9 2 2 2 2 3 2 3" xfId="11650" xr:uid="{DA568CDD-A0F0-4E5A-A761-BBB6834EBAAF}"/>
    <cellStyle name="Normal 9 2 2 2 2 3 2 4" xfId="20079" xr:uid="{480D6E59-1327-4C89-B3F5-6B28C56CEBF0}"/>
    <cellStyle name="Normal 9 2 2 2 2 3 3" xfId="5294" xr:uid="{00000000-0005-0000-0000-0000861E0000}"/>
    <cellStyle name="Normal 9 2 2 2 2 3 3 2" xfId="13723" xr:uid="{B0A43756-9BB6-470C-AF69-CABE84359CB5}"/>
    <cellStyle name="Normal 9 2 2 2 2 3 3 3" xfId="22151" xr:uid="{4746D6D9-DB3C-40D9-87A9-FE45F6DC64A6}"/>
    <cellStyle name="Normal 9 2 2 2 2 3 4" xfId="9505" xr:uid="{DD37DA88-771D-4D6A-8E68-35E809DB4350}"/>
    <cellStyle name="Normal 9 2 2 2 2 3 5" xfId="17934" xr:uid="{B1BDFAD0-6EE9-4D49-AA13-367776AEBCA8}"/>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81" xr:uid="{C467B715-13AC-483C-BA10-8192673A23AB}"/>
    <cellStyle name="Normal 9 2 2 2 2 4 2 2 3" xfId="24709" xr:uid="{CD4300A4-9E9F-42F3-A2AC-AEC4214747BC}"/>
    <cellStyle name="Normal 9 2 2 2 2 4 2 3" xfId="12063" xr:uid="{A9D72453-266A-47C3-A358-51097E9D8674}"/>
    <cellStyle name="Normal 9 2 2 2 2 4 2 4" xfId="20492" xr:uid="{D8375C98-F3A0-486B-8AB7-950DA993B91B}"/>
    <cellStyle name="Normal 9 2 2 2 2 4 3" xfId="5707" xr:uid="{00000000-0005-0000-0000-00008A1E0000}"/>
    <cellStyle name="Normal 9 2 2 2 2 4 3 2" xfId="14136" xr:uid="{6BF6292C-E10F-428E-9932-C56E4BE0CAA7}"/>
    <cellStyle name="Normal 9 2 2 2 2 4 3 3" xfId="22564" xr:uid="{B20DB43D-60D0-4F11-9C36-18B1F86CA04F}"/>
    <cellStyle name="Normal 9 2 2 2 2 4 4" xfId="9918" xr:uid="{458653D0-3A07-452E-9CB7-2A0589816633}"/>
    <cellStyle name="Normal 9 2 2 2 2 4 5" xfId="18347" xr:uid="{4EE15374-DCC8-4BBB-9DA9-AD6708D0539D}"/>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94" xr:uid="{723DBD8F-A6B4-4D19-88D2-59E69AB7E2BD}"/>
    <cellStyle name="Normal 9 2 2 2 2 5 2 2 3" xfId="25122" xr:uid="{2A6E01F5-005F-4ECB-AF77-7FF8D0EDE1FF}"/>
    <cellStyle name="Normal 9 2 2 2 2 5 2 3" xfId="12476" xr:uid="{86704E62-6DC6-41AA-8189-D84316C4DD08}"/>
    <cellStyle name="Normal 9 2 2 2 2 5 2 4" xfId="20905" xr:uid="{E53D224C-86B4-4CA3-9168-034A3ED909EC}"/>
    <cellStyle name="Normal 9 2 2 2 2 5 3" xfId="6120" xr:uid="{00000000-0005-0000-0000-00008E1E0000}"/>
    <cellStyle name="Normal 9 2 2 2 2 5 3 2" xfId="14549" xr:uid="{D4F890FA-4EA6-4DD7-8A51-5E648599B9C7}"/>
    <cellStyle name="Normal 9 2 2 2 2 5 3 3" xfId="22977" xr:uid="{CB936993-7BAC-4604-B50C-29B510AD9B10}"/>
    <cellStyle name="Normal 9 2 2 2 2 5 4" xfId="10331" xr:uid="{22DCEB99-03E2-4756-924D-DC00CE14509D}"/>
    <cellStyle name="Normal 9 2 2 2 2 5 5" xfId="18760" xr:uid="{592AE2B6-7DF4-4443-80CA-1C0BC3272D44}"/>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7" xr:uid="{F6948628-2F05-4F06-858D-9C623E5F3B9A}"/>
    <cellStyle name="Normal 9 2 2 2 2 6 2 2 3" xfId="25535" xr:uid="{88A3A4F4-6143-4410-A641-A178F8CFB884}"/>
    <cellStyle name="Normal 9 2 2 2 2 6 2 3" xfId="12889" xr:uid="{206E23BE-82CB-42A0-B954-0186693709DE}"/>
    <cellStyle name="Normal 9 2 2 2 2 6 2 4" xfId="21318" xr:uid="{DE4212BC-338C-4502-83C7-B191A500530E}"/>
    <cellStyle name="Normal 9 2 2 2 2 6 3" xfId="6533" xr:uid="{00000000-0005-0000-0000-0000921E0000}"/>
    <cellStyle name="Normal 9 2 2 2 2 6 3 2" xfId="14962" xr:uid="{0527391C-39B4-48F0-BC57-A9194F4B4F7C}"/>
    <cellStyle name="Normal 9 2 2 2 2 6 3 3" xfId="23390" xr:uid="{05F340FE-2D8B-4CA2-A118-523BB1121891}"/>
    <cellStyle name="Normal 9 2 2 2 2 6 4" xfId="10744" xr:uid="{9E3B66FE-3706-473D-8778-E2648720D804}"/>
    <cellStyle name="Normal 9 2 2 2 2 6 5" xfId="19173" xr:uid="{08E5321C-72AE-4C5A-B85D-6ABD0EFE2919}"/>
    <cellStyle name="Normal 9 2 2 2 2 7" xfId="2661" xr:uid="{00000000-0005-0000-0000-0000931E0000}"/>
    <cellStyle name="Normal 9 2 2 2 2 7 2" xfId="6946" xr:uid="{00000000-0005-0000-0000-0000941E0000}"/>
    <cellStyle name="Normal 9 2 2 2 2 7 2 2" xfId="15375" xr:uid="{3A5B0D9F-B7F4-4B9A-9157-1C0A65358949}"/>
    <cellStyle name="Normal 9 2 2 2 2 7 2 3" xfId="23803" xr:uid="{EC168736-6B0B-40D1-B38F-7E4866259ABE}"/>
    <cellStyle name="Normal 9 2 2 2 2 7 3" xfId="11157" xr:uid="{634B5E2D-DD94-4030-A6A5-3E2FE45ADF6A}"/>
    <cellStyle name="Normal 9 2 2 2 2 7 4" xfId="19586" xr:uid="{AA331CF9-2D35-431E-8BF9-E3EF169F6759}"/>
    <cellStyle name="Normal 9 2 2 2 2 8" xfId="4881" xr:uid="{00000000-0005-0000-0000-0000951E0000}"/>
    <cellStyle name="Normal 9 2 2 2 2 8 2" xfId="13310" xr:uid="{FB148298-ACFE-4733-A903-8A96AFB38B30}"/>
    <cellStyle name="Normal 9 2 2 2 2 8 3" xfId="21738" xr:uid="{01676B7E-5261-42BF-986C-B0AD1F62178D}"/>
    <cellStyle name="Normal 9 2 2 2 2 9" xfId="9092" xr:uid="{A67C9602-C1C0-439F-AC13-C9C3B73F0329}"/>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70" xr:uid="{BA0A1231-DFCF-47A1-80F7-B9A4866C2868}"/>
    <cellStyle name="Normal 9 2 2 2 3 2 2 2 3" xfId="24298" xr:uid="{6A605C9E-FB5D-44C9-8A16-4D58FE204ABD}"/>
    <cellStyle name="Normal 9 2 2 2 3 2 2 3" xfId="11652" xr:uid="{3EE48E7C-9A68-4996-B0FF-D34FA27FBCD4}"/>
    <cellStyle name="Normal 9 2 2 2 3 2 2 4" xfId="20081" xr:uid="{E8B9699C-3AA6-47FC-85B8-57C2BF93269A}"/>
    <cellStyle name="Normal 9 2 2 2 3 2 3" xfId="5296" xr:uid="{00000000-0005-0000-0000-00009A1E0000}"/>
    <cellStyle name="Normal 9 2 2 2 3 2 3 2" xfId="13725" xr:uid="{CD4BB3DA-FDA1-44F1-83BC-C09C72A65239}"/>
    <cellStyle name="Normal 9 2 2 2 3 2 3 3" xfId="22153" xr:uid="{580CC4F3-6FDD-43F8-9938-CE03CDDC8179}"/>
    <cellStyle name="Normal 9 2 2 2 3 2 4" xfId="9507" xr:uid="{279C5CF7-3710-4559-9091-587EA0A010DD}"/>
    <cellStyle name="Normal 9 2 2 2 3 2 5" xfId="17936" xr:uid="{3D46ABB6-2F29-425A-8144-2D41AEC2138A}"/>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83" xr:uid="{1477A110-A74B-4DD6-A603-39B379B03CB9}"/>
    <cellStyle name="Normal 9 2 2 2 3 3 2 2 3" xfId="24711" xr:uid="{C65B737D-9FF5-4BAA-97EE-0F18F971C252}"/>
    <cellStyle name="Normal 9 2 2 2 3 3 2 3" xfId="12065" xr:uid="{7547BEDA-A7A3-4466-9770-43971E7BA36E}"/>
    <cellStyle name="Normal 9 2 2 2 3 3 2 4" xfId="20494" xr:uid="{5AB881FE-94B4-4AA7-9FB0-A985E9DB6CFB}"/>
    <cellStyle name="Normal 9 2 2 2 3 3 3" xfId="5709" xr:uid="{00000000-0005-0000-0000-00009E1E0000}"/>
    <cellStyle name="Normal 9 2 2 2 3 3 3 2" xfId="14138" xr:uid="{0BCD18F2-AF97-451D-897E-BD2CB2D37960}"/>
    <cellStyle name="Normal 9 2 2 2 3 3 3 3" xfId="22566" xr:uid="{76885176-200E-44B9-BBE5-0CA011E6B09A}"/>
    <cellStyle name="Normal 9 2 2 2 3 3 4" xfId="9920" xr:uid="{921ED992-2959-41AD-84CA-3F330306C50B}"/>
    <cellStyle name="Normal 9 2 2 2 3 3 5" xfId="18349" xr:uid="{F75D4105-107A-4278-A333-54AF72DD932F}"/>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96" xr:uid="{2CBF87AF-349C-4E9E-A4D6-C970725921C5}"/>
    <cellStyle name="Normal 9 2 2 2 3 4 2 2 3" xfId="25124" xr:uid="{B4EC7EAB-F291-4BA3-A145-BE734105C48B}"/>
    <cellStyle name="Normal 9 2 2 2 3 4 2 3" xfId="12478" xr:uid="{2F018262-8CA1-4C02-BC1C-95F5A3068B9F}"/>
    <cellStyle name="Normal 9 2 2 2 3 4 2 4" xfId="20907" xr:uid="{213986DD-85F7-49EF-8B86-B2FE453837D8}"/>
    <cellStyle name="Normal 9 2 2 2 3 4 3" xfId="6122" xr:uid="{00000000-0005-0000-0000-0000A21E0000}"/>
    <cellStyle name="Normal 9 2 2 2 3 4 3 2" xfId="14551" xr:uid="{88EE8F63-1458-4547-85C6-075F59CD3175}"/>
    <cellStyle name="Normal 9 2 2 2 3 4 3 3" xfId="22979" xr:uid="{20899849-51A9-490A-A19A-95D024F54E96}"/>
    <cellStyle name="Normal 9 2 2 2 3 4 4" xfId="10333" xr:uid="{7C6E68C5-B0CE-46FC-99C4-93269460E59A}"/>
    <cellStyle name="Normal 9 2 2 2 3 4 5" xfId="18762" xr:uid="{6539A3E6-D0D7-4D29-A01C-492640C03B72}"/>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9" xr:uid="{E39D03E9-D66B-44B2-A1AB-9FB0652178BF}"/>
    <cellStyle name="Normal 9 2 2 2 3 5 2 2 3" xfId="25537" xr:uid="{ADBA889B-3823-427E-83F9-FD842C993B72}"/>
    <cellStyle name="Normal 9 2 2 2 3 5 2 3" xfId="12891" xr:uid="{93D5E5E6-6347-469D-A5E6-C377E6590FB9}"/>
    <cellStyle name="Normal 9 2 2 2 3 5 2 4" xfId="21320" xr:uid="{F0CB291D-F3DB-40E2-9365-7FB3675EFA75}"/>
    <cellStyle name="Normal 9 2 2 2 3 5 3" xfId="6535" xr:uid="{00000000-0005-0000-0000-0000A61E0000}"/>
    <cellStyle name="Normal 9 2 2 2 3 5 3 2" xfId="14964" xr:uid="{CBEC9694-06F1-472A-8C7A-DC3141DD3DBB}"/>
    <cellStyle name="Normal 9 2 2 2 3 5 3 3" xfId="23392" xr:uid="{497CB21D-C0FA-4050-AEE4-315757083747}"/>
    <cellStyle name="Normal 9 2 2 2 3 5 4" xfId="10746" xr:uid="{B9645309-DEF4-4840-B971-7B9CD0A90F25}"/>
    <cellStyle name="Normal 9 2 2 2 3 5 5" xfId="19175" xr:uid="{0D184467-D0D2-48DD-89D7-1B7D0815EB8F}"/>
    <cellStyle name="Normal 9 2 2 2 3 6" xfId="2663" xr:uid="{00000000-0005-0000-0000-0000A71E0000}"/>
    <cellStyle name="Normal 9 2 2 2 3 6 2" xfId="6948" xr:uid="{00000000-0005-0000-0000-0000A81E0000}"/>
    <cellStyle name="Normal 9 2 2 2 3 6 2 2" xfId="15377" xr:uid="{D3D9F721-D053-4E94-B5B4-823D151C6A0C}"/>
    <cellStyle name="Normal 9 2 2 2 3 6 2 3" xfId="23805" xr:uid="{F59C6D9D-D462-46D5-AB41-CC432BB59F1C}"/>
    <cellStyle name="Normal 9 2 2 2 3 6 3" xfId="11159" xr:uid="{32B81A69-AD31-44DE-99CF-BD91CB0CA6DD}"/>
    <cellStyle name="Normal 9 2 2 2 3 6 4" xfId="19588" xr:uid="{9CBDA718-ACC0-4D52-8809-B6B1AD2D3B2F}"/>
    <cellStyle name="Normal 9 2 2 2 3 7" xfId="4883" xr:uid="{00000000-0005-0000-0000-0000A91E0000}"/>
    <cellStyle name="Normal 9 2 2 2 3 7 2" xfId="13312" xr:uid="{09847951-B117-416B-B8BF-8776B0AC7D61}"/>
    <cellStyle name="Normal 9 2 2 2 3 7 3" xfId="21740" xr:uid="{B54D7583-1190-401D-A5A8-8870FD79D813}"/>
    <cellStyle name="Normal 9 2 2 2 3 8" xfId="9094" xr:uid="{21D54748-73F2-498D-9E33-51AA52309438}"/>
    <cellStyle name="Normal 9 2 2 2 3 9" xfId="17523" xr:uid="{935EAB3D-3201-45F6-A602-C0FD7249FD3A}"/>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7" xr:uid="{7EC42ACE-4507-488E-A7AF-CD2BBE5674C6}"/>
    <cellStyle name="Normal 9 2 2 2 4 2 2 3" xfId="24295" xr:uid="{C18D2D9E-0DCA-4B96-A6A3-F6617D6E2020}"/>
    <cellStyle name="Normal 9 2 2 2 4 2 3" xfId="11649" xr:uid="{A3F503DA-0D2A-45DC-9EBA-C3DCF67FF2CF}"/>
    <cellStyle name="Normal 9 2 2 2 4 2 4" xfId="20078" xr:uid="{3F2210AC-2BD7-4A60-8BA1-55B408AF0651}"/>
    <cellStyle name="Normal 9 2 2 2 4 3" xfId="5293" xr:uid="{00000000-0005-0000-0000-0000AD1E0000}"/>
    <cellStyle name="Normal 9 2 2 2 4 3 2" xfId="13722" xr:uid="{9085E7D0-BCD4-43B7-A368-252972BFBBAE}"/>
    <cellStyle name="Normal 9 2 2 2 4 3 3" xfId="22150" xr:uid="{E6209B3D-964B-4ADF-8BEE-8CE23205ABA5}"/>
    <cellStyle name="Normal 9 2 2 2 4 4" xfId="9504" xr:uid="{654BCE27-36D2-4A7B-A11C-7446B83B7F4C}"/>
    <cellStyle name="Normal 9 2 2 2 4 5" xfId="17933" xr:uid="{18120D81-2F5B-4FAF-8B97-22926357C308}"/>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80" xr:uid="{1D05D858-E4D4-4D65-B473-FEE5A15C07E6}"/>
    <cellStyle name="Normal 9 2 2 2 5 2 2 3" xfId="24708" xr:uid="{E61E97F0-7C08-4DA2-8301-A5A39C1F974D}"/>
    <cellStyle name="Normal 9 2 2 2 5 2 3" xfId="12062" xr:uid="{50D015E4-CE3C-4C63-A99C-B0C134591324}"/>
    <cellStyle name="Normal 9 2 2 2 5 2 4" xfId="20491" xr:uid="{49D2CA5A-B29C-4B61-8C37-496C1EC743B0}"/>
    <cellStyle name="Normal 9 2 2 2 5 3" xfId="5706" xr:uid="{00000000-0005-0000-0000-0000B11E0000}"/>
    <cellStyle name="Normal 9 2 2 2 5 3 2" xfId="14135" xr:uid="{9B3C3CC8-2AD4-4B3B-9983-10E96AF2EED7}"/>
    <cellStyle name="Normal 9 2 2 2 5 3 3" xfId="22563" xr:uid="{884607F1-C5DC-44D4-81C1-9550BF9F455F}"/>
    <cellStyle name="Normal 9 2 2 2 5 4" xfId="9917" xr:uid="{88C71D51-3565-49DE-8C0A-A89353F20DD0}"/>
    <cellStyle name="Normal 9 2 2 2 5 5" xfId="18346" xr:uid="{8041AA19-10C0-4C94-8382-F6D7C2D8C13A}"/>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93" xr:uid="{71E38FD7-E8EE-4A4A-B8C2-8FD139C77627}"/>
    <cellStyle name="Normal 9 2 2 2 6 2 2 3" xfId="25121" xr:uid="{C9C14C46-1778-4889-81E0-4B2C2912A5BF}"/>
    <cellStyle name="Normal 9 2 2 2 6 2 3" xfId="12475" xr:uid="{C229FB4D-BBEC-45BA-BF2E-3A8BDA457345}"/>
    <cellStyle name="Normal 9 2 2 2 6 2 4" xfId="20904" xr:uid="{D112F617-1966-4529-8637-59BB921596B2}"/>
    <cellStyle name="Normal 9 2 2 2 6 3" xfId="6119" xr:uid="{00000000-0005-0000-0000-0000B51E0000}"/>
    <cellStyle name="Normal 9 2 2 2 6 3 2" xfId="14548" xr:uid="{CB807D5A-B0BD-4A3D-9D88-2E45C536FF0A}"/>
    <cellStyle name="Normal 9 2 2 2 6 3 3" xfId="22976" xr:uid="{4C1A0614-76A6-45B2-8DEB-65ED08BE6E02}"/>
    <cellStyle name="Normal 9 2 2 2 6 4" xfId="10330" xr:uid="{000FD933-1ED0-4907-B8D7-6D300568B340}"/>
    <cellStyle name="Normal 9 2 2 2 6 5" xfId="18759" xr:uid="{85EAA071-4016-4B3D-88E3-F934E0702545}"/>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106" xr:uid="{91D4D34F-6A9F-4875-93BF-DA25202113E7}"/>
    <cellStyle name="Normal 9 2 2 2 7 2 2 3" xfId="25534" xr:uid="{1B4F3CEE-F663-4523-A423-A854C5E37D07}"/>
    <cellStyle name="Normal 9 2 2 2 7 2 3" xfId="12888" xr:uid="{C1F69324-2630-434E-BF5A-8FA89E234CA2}"/>
    <cellStyle name="Normal 9 2 2 2 7 2 4" xfId="21317" xr:uid="{CCD0ACF9-0344-46A3-A7D9-F5F9D344429E}"/>
    <cellStyle name="Normal 9 2 2 2 7 3" xfId="6532" xr:uid="{00000000-0005-0000-0000-0000B91E0000}"/>
    <cellStyle name="Normal 9 2 2 2 7 3 2" xfId="14961" xr:uid="{EF5F8604-D366-440D-9053-6FA48B5C826F}"/>
    <cellStyle name="Normal 9 2 2 2 7 3 3" xfId="23389" xr:uid="{7FBF4C8C-6B9F-43AD-90AF-D4DD1A99EBB5}"/>
    <cellStyle name="Normal 9 2 2 2 7 4" xfId="10743" xr:uid="{A59CB1D9-B9AA-41CC-8B66-1F1074BE2EDF}"/>
    <cellStyle name="Normal 9 2 2 2 7 5" xfId="19172" xr:uid="{1483A79C-4155-42CD-A4D2-09F63C8F14C8}"/>
    <cellStyle name="Normal 9 2 2 2 8" xfId="2660" xr:uid="{00000000-0005-0000-0000-0000BA1E0000}"/>
    <cellStyle name="Normal 9 2 2 2 8 2" xfId="6945" xr:uid="{00000000-0005-0000-0000-0000BB1E0000}"/>
    <cellStyle name="Normal 9 2 2 2 8 2 2" xfId="15374" xr:uid="{B92B0C9C-5B1F-445A-B2BF-BD96889BBAF4}"/>
    <cellStyle name="Normal 9 2 2 2 8 2 3" xfId="23802" xr:uid="{3398D8D0-1665-42C8-9CF2-697E6E060959}"/>
    <cellStyle name="Normal 9 2 2 2 8 3" xfId="11156" xr:uid="{361A4334-6E50-4901-85EA-698352454485}"/>
    <cellStyle name="Normal 9 2 2 2 8 4" xfId="19585" xr:uid="{CA4002B5-7388-48FC-B1C6-680E095F5230}"/>
    <cellStyle name="Normal 9 2 2 2 9" xfId="4880" xr:uid="{00000000-0005-0000-0000-0000BC1E0000}"/>
    <cellStyle name="Normal 9 2 2 2 9 2" xfId="13309" xr:uid="{8DF9E799-CC30-42E0-9042-7B2BB3E4B8D5}"/>
    <cellStyle name="Normal 9 2 2 2 9 3" xfId="21737" xr:uid="{1F92AB2E-2CEC-4F05-8C59-1194A78D6A2D}"/>
    <cellStyle name="Normal 9 2 2 3" xfId="517" xr:uid="{00000000-0005-0000-0000-0000BD1E0000}"/>
    <cellStyle name="Normal 9 2 2 3 10" xfId="17524" xr:uid="{963224A6-FD38-4103-91F8-72C5E4085F04}"/>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72" xr:uid="{359C7D7A-F188-4ED2-86B9-C87D36D97847}"/>
    <cellStyle name="Normal 9 2 2 3 2 2 2 2 3" xfId="24300" xr:uid="{A325FB03-DB90-47AB-BC20-7B9E8AAD7F1E}"/>
    <cellStyle name="Normal 9 2 2 3 2 2 2 3" xfId="11654" xr:uid="{083A0C05-BD0C-4BF1-9CC5-D93F9A0DF3AA}"/>
    <cellStyle name="Normal 9 2 2 3 2 2 2 4" xfId="20083" xr:uid="{CBBEBF80-0AA0-4633-9649-7501A93951D0}"/>
    <cellStyle name="Normal 9 2 2 3 2 2 3" xfId="5298" xr:uid="{00000000-0005-0000-0000-0000C21E0000}"/>
    <cellStyle name="Normal 9 2 2 3 2 2 3 2" xfId="13727" xr:uid="{ED73E7E7-65A8-4CD4-A2AE-E24400E4F50B}"/>
    <cellStyle name="Normal 9 2 2 3 2 2 3 3" xfId="22155" xr:uid="{AA4DB71B-3C3F-4E6E-A70E-4B13EE96D50F}"/>
    <cellStyle name="Normal 9 2 2 3 2 2 4" xfId="9509" xr:uid="{67ABCCDB-C97C-4A9D-B5FE-CEF6BB704C28}"/>
    <cellStyle name="Normal 9 2 2 3 2 2 5" xfId="17938" xr:uid="{819BCBCE-7336-487D-9AA5-14ACAA1346BB}"/>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85" xr:uid="{78C2C203-D2BB-43AB-90DB-B1B85214F9AC}"/>
    <cellStyle name="Normal 9 2 2 3 2 3 2 2 3" xfId="24713" xr:uid="{637C7F7C-2D42-4E70-B609-6FC6B535C62E}"/>
    <cellStyle name="Normal 9 2 2 3 2 3 2 3" xfId="12067" xr:uid="{8A6D9836-39C1-463A-AE4F-124FF3B5CCC1}"/>
    <cellStyle name="Normal 9 2 2 3 2 3 2 4" xfId="20496" xr:uid="{CE0BED59-D40C-4799-83F3-6E54D84CD2B2}"/>
    <cellStyle name="Normal 9 2 2 3 2 3 3" xfId="5711" xr:uid="{00000000-0005-0000-0000-0000C61E0000}"/>
    <cellStyle name="Normal 9 2 2 3 2 3 3 2" xfId="14140" xr:uid="{2DFB3560-D84E-4D52-A623-F07CC53BAC7D}"/>
    <cellStyle name="Normal 9 2 2 3 2 3 3 3" xfId="22568" xr:uid="{46380E09-B96B-4914-9CC4-867CA165B3DF}"/>
    <cellStyle name="Normal 9 2 2 3 2 3 4" xfId="9922" xr:uid="{10A01DDF-D2A3-4AB1-A15D-F0453C6FBB26}"/>
    <cellStyle name="Normal 9 2 2 3 2 3 5" xfId="18351" xr:uid="{B8FFC317-1548-4238-AC66-831F13BD95D3}"/>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8" xr:uid="{F15E3CAE-0FFF-4BA4-85A6-F2BC37FCAFB8}"/>
    <cellStyle name="Normal 9 2 2 3 2 4 2 2 3" xfId="25126" xr:uid="{A1152858-629D-42C6-A126-BFDBA681F594}"/>
    <cellStyle name="Normal 9 2 2 3 2 4 2 3" xfId="12480" xr:uid="{FD082641-03F1-497B-A94A-1CE0BCE25390}"/>
    <cellStyle name="Normal 9 2 2 3 2 4 2 4" xfId="20909" xr:uid="{FE987141-4EEA-475C-AD71-47FB08249DC6}"/>
    <cellStyle name="Normal 9 2 2 3 2 4 3" xfId="6124" xr:uid="{00000000-0005-0000-0000-0000CA1E0000}"/>
    <cellStyle name="Normal 9 2 2 3 2 4 3 2" xfId="14553" xr:uid="{EB6C703E-8372-4F88-9FA9-1162EFF239A4}"/>
    <cellStyle name="Normal 9 2 2 3 2 4 3 3" xfId="22981" xr:uid="{69297C51-F9E5-41B0-900C-5B3302A92792}"/>
    <cellStyle name="Normal 9 2 2 3 2 4 4" xfId="10335" xr:uid="{6B0F30D8-9D0A-430E-9545-E465657A8415}"/>
    <cellStyle name="Normal 9 2 2 3 2 4 5" xfId="18764" xr:uid="{9A560300-436E-4C84-BF09-AC51CB379162}"/>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11" xr:uid="{869BB439-AAD8-4374-B5D7-14C042FB1F45}"/>
    <cellStyle name="Normal 9 2 2 3 2 5 2 2 3" xfId="25539" xr:uid="{D6F5CC5A-3F6E-4773-A725-532DF9FDA92C}"/>
    <cellStyle name="Normal 9 2 2 3 2 5 2 3" xfId="12893" xr:uid="{2B6A3DF3-9F71-4B46-93CE-6EDDDF12754F}"/>
    <cellStyle name="Normal 9 2 2 3 2 5 2 4" xfId="21322" xr:uid="{25F73706-56A2-4D26-AA1B-C1C345BD83E2}"/>
    <cellStyle name="Normal 9 2 2 3 2 5 3" xfId="6537" xr:uid="{00000000-0005-0000-0000-0000CE1E0000}"/>
    <cellStyle name="Normal 9 2 2 3 2 5 3 2" xfId="14966" xr:uid="{30C180F2-A309-45C9-B1EA-19404CC835D7}"/>
    <cellStyle name="Normal 9 2 2 3 2 5 3 3" xfId="23394" xr:uid="{0277D69C-B0FD-41A2-BAF8-8BDEE6FB3481}"/>
    <cellStyle name="Normal 9 2 2 3 2 5 4" xfId="10748" xr:uid="{7FC170E6-6B74-48D8-AC03-04A756D54406}"/>
    <cellStyle name="Normal 9 2 2 3 2 5 5" xfId="19177" xr:uid="{F14AE121-6711-49AC-8B44-236850D04AB9}"/>
    <cellStyle name="Normal 9 2 2 3 2 6" xfId="2665" xr:uid="{00000000-0005-0000-0000-0000CF1E0000}"/>
    <cellStyle name="Normal 9 2 2 3 2 6 2" xfId="6950" xr:uid="{00000000-0005-0000-0000-0000D01E0000}"/>
    <cellStyle name="Normal 9 2 2 3 2 6 2 2" xfId="15379" xr:uid="{D18AE4B3-8D6C-4CB8-A2FD-03835EB23503}"/>
    <cellStyle name="Normal 9 2 2 3 2 6 2 3" xfId="23807" xr:uid="{4617898B-9F3C-458A-98A8-2727C3589D28}"/>
    <cellStyle name="Normal 9 2 2 3 2 6 3" xfId="11161" xr:uid="{E8813F70-D246-4D21-88D9-CAB3E91F2B17}"/>
    <cellStyle name="Normal 9 2 2 3 2 6 4" xfId="19590" xr:uid="{C97AECA5-CFDA-4C63-AAAC-F55427484104}"/>
    <cellStyle name="Normal 9 2 2 3 2 7" xfId="4885" xr:uid="{00000000-0005-0000-0000-0000D11E0000}"/>
    <cellStyle name="Normal 9 2 2 3 2 7 2" xfId="13314" xr:uid="{22B64B96-0919-40EF-B393-140E403C52CF}"/>
    <cellStyle name="Normal 9 2 2 3 2 7 3" xfId="21742" xr:uid="{B734457E-0847-4113-99AA-1311FA52DF3F}"/>
    <cellStyle name="Normal 9 2 2 3 2 8" xfId="9096" xr:uid="{5FEF72B3-CA81-4C99-86C4-92E47CE0D97E}"/>
    <cellStyle name="Normal 9 2 2 3 2 9" xfId="17525" xr:uid="{BD669703-AFE5-4B2E-81FA-C2ABD844C0B9}"/>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71" xr:uid="{FB0905B6-A54B-428E-8B5C-AEF1865616B1}"/>
    <cellStyle name="Normal 9 2 2 3 3 2 2 3" xfId="24299" xr:uid="{9EBB9DE3-5179-4485-9B50-E4004135DA72}"/>
    <cellStyle name="Normal 9 2 2 3 3 2 3" xfId="11653" xr:uid="{15F4D524-1EE4-44FE-8746-C4309C91D46B}"/>
    <cellStyle name="Normal 9 2 2 3 3 2 4" xfId="20082" xr:uid="{69618C3C-D7F8-4411-9A17-A2F2627B02CB}"/>
    <cellStyle name="Normal 9 2 2 3 3 3" xfId="5297" xr:uid="{00000000-0005-0000-0000-0000D51E0000}"/>
    <cellStyle name="Normal 9 2 2 3 3 3 2" xfId="13726" xr:uid="{525B6661-C45B-4693-A649-7409ADFA6A2D}"/>
    <cellStyle name="Normal 9 2 2 3 3 3 3" xfId="22154" xr:uid="{10D5A928-93AD-41A7-8AA8-33F51C292F15}"/>
    <cellStyle name="Normal 9 2 2 3 3 4" xfId="9508" xr:uid="{526D85A2-AC9F-4312-BDAE-FA3D93B65F5B}"/>
    <cellStyle name="Normal 9 2 2 3 3 5" xfId="17937" xr:uid="{074925F9-EEFD-4D75-B273-B3DE69FC2FDF}"/>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84" xr:uid="{A697B4C3-9C8B-4F7F-B469-DC9E732B21FB}"/>
    <cellStyle name="Normal 9 2 2 3 4 2 2 3" xfId="24712" xr:uid="{CE9F37DC-6A1E-41F5-858D-93CCBAB0E971}"/>
    <cellStyle name="Normal 9 2 2 3 4 2 3" xfId="12066" xr:uid="{2B376D8B-25AC-4F6E-A8A7-D8CD2D9270DA}"/>
    <cellStyle name="Normal 9 2 2 3 4 2 4" xfId="20495" xr:uid="{055FF8BF-8124-4AD3-92BC-12EF1B7A2F2C}"/>
    <cellStyle name="Normal 9 2 2 3 4 3" xfId="5710" xr:uid="{00000000-0005-0000-0000-0000D91E0000}"/>
    <cellStyle name="Normal 9 2 2 3 4 3 2" xfId="14139" xr:uid="{5406A312-7D23-4970-AB9A-6163C4D2B916}"/>
    <cellStyle name="Normal 9 2 2 3 4 3 3" xfId="22567" xr:uid="{360E2903-976A-4F59-A733-8D4FF8551A44}"/>
    <cellStyle name="Normal 9 2 2 3 4 4" xfId="9921" xr:uid="{8483BC7A-C3A8-4EBD-92C3-42AE10449CA5}"/>
    <cellStyle name="Normal 9 2 2 3 4 5" xfId="18350" xr:uid="{CAC85B52-1D1C-445B-B789-B42C1E5585E8}"/>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7" xr:uid="{FB7B68FF-9054-4523-9D15-FC53399335CE}"/>
    <cellStyle name="Normal 9 2 2 3 5 2 2 3" xfId="25125" xr:uid="{74CA14A3-0A00-43F8-8EDD-4DEBD3F8D672}"/>
    <cellStyle name="Normal 9 2 2 3 5 2 3" xfId="12479" xr:uid="{463D43CC-0585-4A2C-B6EE-36A4BF87752C}"/>
    <cellStyle name="Normal 9 2 2 3 5 2 4" xfId="20908" xr:uid="{4F2F28B2-5535-4E61-BF27-EA7E18B54A8C}"/>
    <cellStyle name="Normal 9 2 2 3 5 3" xfId="6123" xr:uid="{00000000-0005-0000-0000-0000DD1E0000}"/>
    <cellStyle name="Normal 9 2 2 3 5 3 2" xfId="14552" xr:uid="{F10969A2-6AF4-48C2-9605-923E77F0BDD7}"/>
    <cellStyle name="Normal 9 2 2 3 5 3 3" xfId="22980" xr:uid="{BD8C216B-C3E6-4FB2-B16E-1A97699AD381}"/>
    <cellStyle name="Normal 9 2 2 3 5 4" xfId="10334" xr:uid="{91BB204B-BF02-4FB9-BEA1-CEA7C14AA579}"/>
    <cellStyle name="Normal 9 2 2 3 5 5" xfId="18763" xr:uid="{105E351C-F1AD-42B5-9284-D7AEA56ADD5A}"/>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10" xr:uid="{274CC19B-FD60-46F0-9B7C-A5A664BFFC23}"/>
    <cellStyle name="Normal 9 2 2 3 6 2 2 3" xfId="25538" xr:uid="{92551921-E4CB-4634-8E97-D55FD6FE080D}"/>
    <cellStyle name="Normal 9 2 2 3 6 2 3" xfId="12892" xr:uid="{FFAD0CE0-CC24-47EC-B017-2574E138CC40}"/>
    <cellStyle name="Normal 9 2 2 3 6 2 4" xfId="21321" xr:uid="{C748A076-A5B2-438B-9C78-A3565205F141}"/>
    <cellStyle name="Normal 9 2 2 3 6 3" xfId="6536" xr:uid="{00000000-0005-0000-0000-0000E11E0000}"/>
    <cellStyle name="Normal 9 2 2 3 6 3 2" xfId="14965" xr:uid="{FF081626-1F87-4639-BC23-7CEBFF718180}"/>
    <cellStyle name="Normal 9 2 2 3 6 3 3" xfId="23393" xr:uid="{89602A65-9B59-407A-BBCE-EFC5E65BCFEE}"/>
    <cellStyle name="Normal 9 2 2 3 6 4" xfId="10747" xr:uid="{75033835-2E94-4239-ABC9-D121F2B6A18A}"/>
    <cellStyle name="Normal 9 2 2 3 6 5" xfId="19176" xr:uid="{7B6F3FB2-F9AB-47CE-ACC4-3D669B53FB0A}"/>
    <cellStyle name="Normal 9 2 2 3 7" xfId="2664" xr:uid="{00000000-0005-0000-0000-0000E21E0000}"/>
    <cellStyle name="Normal 9 2 2 3 7 2" xfId="6949" xr:uid="{00000000-0005-0000-0000-0000E31E0000}"/>
    <cellStyle name="Normal 9 2 2 3 7 2 2" xfId="15378" xr:uid="{07D3F26D-35E7-4F9A-8987-69451BAC55C5}"/>
    <cellStyle name="Normal 9 2 2 3 7 2 3" xfId="23806" xr:uid="{38F8C1DC-EB33-4FE5-9F28-A03DEF3E075B}"/>
    <cellStyle name="Normal 9 2 2 3 7 3" xfId="11160" xr:uid="{D19B4185-0815-41CF-A234-87551C8A0F4E}"/>
    <cellStyle name="Normal 9 2 2 3 7 4" xfId="19589" xr:uid="{F53DD5F7-6E26-46E5-8EF5-A852D367FCA7}"/>
    <cellStyle name="Normal 9 2 2 3 8" xfId="4884" xr:uid="{00000000-0005-0000-0000-0000E41E0000}"/>
    <cellStyle name="Normal 9 2 2 3 8 2" xfId="13313" xr:uid="{E823DE34-4867-468E-9E9A-263FF4E9735D}"/>
    <cellStyle name="Normal 9 2 2 3 8 3" xfId="21741" xr:uid="{79A70FA2-0915-4CA4-9367-E46F5F83FBAA}"/>
    <cellStyle name="Normal 9 2 2 3 9" xfId="9095" xr:uid="{4DFBF863-9E8C-40B8-A816-0C304D539649}"/>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73" xr:uid="{BC0AEFFE-1AF0-4DA5-A5D9-07D1F7B3D914}"/>
    <cellStyle name="Normal 9 2 2 4 2 2 2 3" xfId="24301" xr:uid="{F0B55C6C-A3DE-4EBB-9101-7BFBC6CCD805}"/>
    <cellStyle name="Normal 9 2 2 4 2 2 3" xfId="11655" xr:uid="{4CB396E6-0F76-46B7-95A9-10DD27C25B39}"/>
    <cellStyle name="Normal 9 2 2 4 2 2 4" xfId="20084" xr:uid="{D6B8AA5B-DAB7-4DCC-90A2-B520E819B552}"/>
    <cellStyle name="Normal 9 2 2 4 2 3" xfId="5299" xr:uid="{00000000-0005-0000-0000-0000E91E0000}"/>
    <cellStyle name="Normal 9 2 2 4 2 3 2" xfId="13728" xr:uid="{A745D908-E08C-47AB-84E5-2D252D62F803}"/>
    <cellStyle name="Normal 9 2 2 4 2 3 3" xfId="22156" xr:uid="{64194369-6D1A-4210-ACFE-567EB4E387E9}"/>
    <cellStyle name="Normal 9 2 2 4 2 4" xfId="9510" xr:uid="{D221620E-A565-40C6-8F16-7314A2AFFEBE}"/>
    <cellStyle name="Normal 9 2 2 4 2 5" xfId="17939" xr:uid="{4487B3A7-6D04-4AEC-8DA9-3A30F20E6B14}"/>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86" xr:uid="{416B639C-5100-4B4A-AD1A-42BE59810C00}"/>
    <cellStyle name="Normal 9 2 2 4 3 2 2 3" xfId="24714" xr:uid="{AC685D5C-CD19-4AAE-ACFB-34B617AC81A1}"/>
    <cellStyle name="Normal 9 2 2 4 3 2 3" xfId="12068" xr:uid="{20AF34BC-032F-4785-8E0D-EE683EB559D4}"/>
    <cellStyle name="Normal 9 2 2 4 3 2 4" xfId="20497" xr:uid="{ACD87E3D-CA9B-417A-BE44-56CB32EA9C94}"/>
    <cellStyle name="Normal 9 2 2 4 3 3" xfId="5712" xr:uid="{00000000-0005-0000-0000-0000ED1E0000}"/>
    <cellStyle name="Normal 9 2 2 4 3 3 2" xfId="14141" xr:uid="{414EA587-9C2F-48D5-A0D1-62A9243E9C42}"/>
    <cellStyle name="Normal 9 2 2 4 3 3 3" xfId="22569" xr:uid="{2AD04659-22CA-479A-9A01-B1659D47AF65}"/>
    <cellStyle name="Normal 9 2 2 4 3 4" xfId="9923" xr:uid="{A17E5F91-1DE8-4CA6-949D-DA74BE56602B}"/>
    <cellStyle name="Normal 9 2 2 4 3 5" xfId="18352" xr:uid="{AFB779FE-D5A8-4AB6-8799-9AEA934D8C30}"/>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9" xr:uid="{9123DC6A-6291-4C1E-91F4-5DB2FD0777F4}"/>
    <cellStyle name="Normal 9 2 2 4 4 2 2 3" xfId="25127" xr:uid="{529EC4FC-5560-4BCD-B84D-FA268B06262D}"/>
    <cellStyle name="Normal 9 2 2 4 4 2 3" xfId="12481" xr:uid="{2E99588D-E7CC-449F-9B1E-FB1F81C838A0}"/>
    <cellStyle name="Normal 9 2 2 4 4 2 4" xfId="20910" xr:uid="{3D6BCC5C-2763-4D38-AAEC-C38141C654E3}"/>
    <cellStyle name="Normal 9 2 2 4 4 3" xfId="6125" xr:uid="{00000000-0005-0000-0000-0000F11E0000}"/>
    <cellStyle name="Normal 9 2 2 4 4 3 2" xfId="14554" xr:uid="{C609DC71-4763-427F-9280-947090DBCE9A}"/>
    <cellStyle name="Normal 9 2 2 4 4 3 3" xfId="22982" xr:uid="{F5E10060-1E38-47B0-9EE6-24E323621BB8}"/>
    <cellStyle name="Normal 9 2 2 4 4 4" xfId="10336" xr:uid="{D642ADC3-26C3-41D8-8856-C1B4DFF1CABF}"/>
    <cellStyle name="Normal 9 2 2 4 4 5" xfId="18765" xr:uid="{1947E148-1E02-4AA7-974E-3EA17A7DDED5}"/>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12" xr:uid="{884E6728-A0EA-488B-BA6B-C7C73A5CD4D1}"/>
    <cellStyle name="Normal 9 2 2 4 5 2 2 3" xfId="25540" xr:uid="{F1AAA58A-E20B-4CEC-B75D-D42D4A126DB7}"/>
    <cellStyle name="Normal 9 2 2 4 5 2 3" xfId="12894" xr:uid="{73E400FC-D109-47C6-B1B5-E68604DF96FB}"/>
    <cellStyle name="Normal 9 2 2 4 5 2 4" xfId="21323" xr:uid="{E183AC21-065E-4118-A764-82DAD8CC35D4}"/>
    <cellStyle name="Normal 9 2 2 4 5 3" xfId="6538" xr:uid="{00000000-0005-0000-0000-0000F51E0000}"/>
    <cellStyle name="Normal 9 2 2 4 5 3 2" xfId="14967" xr:uid="{EBDDDB55-3409-4BC6-8D4D-79D7F33B327A}"/>
    <cellStyle name="Normal 9 2 2 4 5 3 3" xfId="23395" xr:uid="{37909925-A29B-4D4A-BA9A-3E05FD1E9358}"/>
    <cellStyle name="Normal 9 2 2 4 5 4" xfId="10749" xr:uid="{39D47146-A15D-418E-B102-1421C7D4571C}"/>
    <cellStyle name="Normal 9 2 2 4 5 5" xfId="19178" xr:uid="{C434DDC3-AB5F-428B-93FA-17D484FF1F5D}"/>
    <cellStyle name="Normal 9 2 2 4 6" xfId="2666" xr:uid="{00000000-0005-0000-0000-0000F61E0000}"/>
    <cellStyle name="Normal 9 2 2 4 6 2" xfId="6951" xr:uid="{00000000-0005-0000-0000-0000F71E0000}"/>
    <cellStyle name="Normal 9 2 2 4 6 2 2" xfId="15380" xr:uid="{0F1D2F53-9A67-4AF9-BED0-D1D0EEE4DAB8}"/>
    <cellStyle name="Normal 9 2 2 4 6 2 3" xfId="23808" xr:uid="{16F4FA79-2B8E-422A-AA9F-F74FC7328077}"/>
    <cellStyle name="Normal 9 2 2 4 6 3" xfId="11162" xr:uid="{375870BA-7E7F-4B96-BD0E-07CF1ACC21A8}"/>
    <cellStyle name="Normal 9 2 2 4 6 4" xfId="19591" xr:uid="{CF69144D-5178-4D98-AA10-721B25D7F7E1}"/>
    <cellStyle name="Normal 9 2 2 4 7" xfId="4886" xr:uid="{00000000-0005-0000-0000-0000F81E0000}"/>
    <cellStyle name="Normal 9 2 2 4 7 2" xfId="13315" xr:uid="{E5BD75AD-9FA0-4BC9-B17C-5ED8664F754A}"/>
    <cellStyle name="Normal 9 2 2 4 7 3" xfId="21743" xr:uid="{24C0A595-E732-4137-9489-ABB2BC02A76B}"/>
    <cellStyle name="Normal 9 2 2 4 8" xfId="9097" xr:uid="{218DF440-3C04-4EDF-A890-7A1BA6E5EBD0}"/>
    <cellStyle name="Normal 9 2 2 4 9" xfId="17526" xr:uid="{6DF1C080-2A00-4BDE-AAAF-6BD0A448183D}"/>
    <cellStyle name="Normal 9 2 2 5" xfId="980" xr:uid="{00000000-0005-0000-0000-0000F91E0000}"/>
    <cellStyle name="Normal 9 2 2 5 2" xfId="3213" xr:uid="{00000000-0005-0000-0000-0000FA1E0000}"/>
    <cellStyle name="Normal 9 2 2 5 2 2" xfId="7437" xr:uid="{00000000-0005-0000-0000-0000FB1E0000}"/>
    <cellStyle name="Normal 9 2 2 5 2 2 2" xfId="15866" xr:uid="{3B9A71D2-617B-4623-A758-1146A980518A}"/>
    <cellStyle name="Normal 9 2 2 5 2 2 3" xfId="24294" xr:uid="{B308B824-DB16-4531-90BE-8AEC2282BD1F}"/>
    <cellStyle name="Normal 9 2 2 5 2 3" xfId="11648" xr:uid="{1321F384-8515-4714-906D-AD40A3F4B6BA}"/>
    <cellStyle name="Normal 9 2 2 5 2 4" xfId="20077" xr:uid="{DF67C8A7-997D-42A6-AA66-B4CB530DBF56}"/>
    <cellStyle name="Normal 9 2 2 5 3" xfId="5292" xr:uid="{00000000-0005-0000-0000-0000FC1E0000}"/>
    <cellStyle name="Normal 9 2 2 5 3 2" xfId="13721" xr:uid="{231F6112-DBFF-4673-8E92-482C6957671F}"/>
    <cellStyle name="Normal 9 2 2 5 3 3" xfId="22149" xr:uid="{0165C25B-EC02-42BE-BE47-5ED78536E8FE}"/>
    <cellStyle name="Normal 9 2 2 5 4" xfId="9503" xr:uid="{88CA2800-683B-46F0-9E11-5FDEB493B767}"/>
    <cellStyle name="Normal 9 2 2 5 5" xfId="17932" xr:uid="{862ECC2A-A697-44F1-9DF2-D7BB9C84902D}"/>
    <cellStyle name="Normal 9 2 2 6" xfId="1396" xr:uid="{00000000-0005-0000-0000-0000FD1E0000}"/>
    <cellStyle name="Normal 9 2 2 6 2" xfId="3626" xr:uid="{00000000-0005-0000-0000-0000FE1E0000}"/>
    <cellStyle name="Normal 9 2 2 6 2 2" xfId="7850" xr:uid="{00000000-0005-0000-0000-0000FF1E0000}"/>
    <cellStyle name="Normal 9 2 2 6 2 2 2" xfId="16279" xr:uid="{3018B372-3934-40E0-9D22-8832683E1739}"/>
    <cellStyle name="Normal 9 2 2 6 2 2 3" xfId="24707" xr:uid="{B17BA0EF-41E6-43A8-AAF5-E5D4AA3D5371}"/>
    <cellStyle name="Normal 9 2 2 6 2 3" xfId="12061" xr:uid="{38FB7F19-3CF7-49FC-A8DB-CFA059A0AD4C}"/>
    <cellStyle name="Normal 9 2 2 6 2 4" xfId="20490" xr:uid="{F18890B3-A944-49D8-A4F2-B719D879B8C3}"/>
    <cellStyle name="Normal 9 2 2 6 3" xfId="5705" xr:uid="{00000000-0005-0000-0000-0000001F0000}"/>
    <cellStyle name="Normal 9 2 2 6 3 2" xfId="14134" xr:uid="{D8F19A46-CD7A-45D8-945A-CD4384115346}"/>
    <cellStyle name="Normal 9 2 2 6 3 3" xfId="22562" xr:uid="{60B2F8AA-5D6B-4F9D-BEAB-72A0E9D293F2}"/>
    <cellStyle name="Normal 9 2 2 6 4" xfId="9916" xr:uid="{C88524B7-EE17-46E2-ACC8-951A38B42389}"/>
    <cellStyle name="Normal 9 2 2 6 5" xfId="18345" xr:uid="{E69CA3F7-BE29-4A96-9F51-50CA6A74019F}"/>
    <cellStyle name="Normal 9 2 2 7" xfId="1809" xr:uid="{00000000-0005-0000-0000-0000011F0000}"/>
    <cellStyle name="Normal 9 2 2 7 2" xfId="4039" xr:uid="{00000000-0005-0000-0000-0000021F0000}"/>
    <cellStyle name="Normal 9 2 2 7 2 2" xfId="8263" xr:uid="{00000000-0005-0000-0000-0000031F0000}"/>
    <cellStyle name="Normal 9 2 2 7 2 2 2" xfId="16692" xr:uid="{BAF006CB-EFC7-46E4-894E-63181BC0C535}"/>
    <cellStyle name="Normal 9 2 2 7 2 2 3" xfId="25120" xr:uid="{DE31337C-96DC-45FD-8018-F86886F4DF49}"/>
    <cellStyle name="Normal 9 2 2 7 2 3" xfId="12474" xr:uid="{E1FD18F1-DCBF-41A1-84F1-05E121B1E2E4}"/>
    <cellStyle name="Normal 9 2 2 7 2 4" xfId="20903" xr:uid="{AE4605B0-8520-428C-AA6E-EA4F6037C7DB}"/>
    <cellStyle name="Normal 9 2 2 7 3" xfId="6118" xr:uid="{00000000-0005-0000-0000-0000041F0000}"/>
    <cellStyle name="Normal 9 2 2 7 3 2" xfId="14547" xr:uid="{A91DE158-9BE1-4549-A8A8-27592F5D6D47}"/>
    <cellStyle name="Normal 9 2 2 7 3 3" xfId="22975" xr:uid="{BD69111D-8DA6-406A-86D9-B56473C5E68A}"/>
    <cellStyle name="Normal 9 2 2 7 4" xfId="10329" xr:uid="{7C18F680-0E5F-41C4-A6BE-03060459D428}"/>
    <cellStyle name="Normal 9 2 2 7 5" xfId="18758" xr:uid="{25264267-2517-4176-B774-49F7CB9716E4}"/>
    <cellStyle name="Normal 9 2 2 8" xfId="2223" xr:uid="{00000000-0005-0000-0000-0000051F0000}"/>
    <cellStyle name="Normal 9 2 2 8 2" xfId="4452" xr:uid="{00000000-0005-0000-0000-0000061F0000}"/>
    <cellStyle name="Normal 9 2 2 8 2 2" xfId="8676" xr:uid="{00000000-0005-0000-0000-0000071F0000}"/>
    <cellStyle name="Normal 9 2 2 8 2 2 2" xfId="17105" xr:uid="{D500D48F-2BF0-41B4-98C7-3EBC0E32C4E2}"/>
    <cellStyle name="Normal 9 2 2 8 2 2 3" xfId="25533" xr:uid="{8CFBA0C6-99D2-4712-8907-6436854DADDD}"/>
    <cellStyle name="Normal 9 2 2 8 2 3" xfId="12887" xr:uid="{B8BF6C74-B814-4C6D-ADA9-FA9A77CF4C71}"/>
    <cellStyle name="Normal 9 2 2 8 2 4" xfId="21316" xr:uid="{49A890FD-C600-43FA-88E7-FF83C5836D13}"/>
    <cellStyle name="Normal 9 2 2 8 3" xfId="6531" xr:uid="{00000000-0005-0000-0000-0000081F0000}"/>
    <cellStyle name="Normal 9 2 2 8 3 2" xfId="14960" xr:uid="{C0DC3506-81C4-4203-B426-DF9BA878936F}"/>
    <cellStyle name="Normal 9 2 2 8 3 3" xfId="23388" xr:uid="{5D48CDD7-81EE-4067-9543-07FCA88DFD16}"/>
    <cellStyle name="Normal 9 2 2 8 4" xfId="10742" xr:uid="{632E91A8-EBD7-4EA3-8863-EE1438EA37EA}"/>
    <cellStyle name="Normal 9 2 2 8 5" xfId="19171" xr:uid="{8D9BAAA0-F8A3-440B-90AD-F575CF749CA9}"/>
    <cellStyle name="Normal 9 2 2 9" xfId="2659" xr:uid="{00000000-0005-0000-0000-0000091F0000}"/>
    <cellStyle name="Normal 9 2 2 9 2" xfId="6944" xr:uid="{00000000-0005-0000-0000-00000A1F0000}"/>
    <cellStyle name="Normal 9 2 2 9 2 2" xfId="15373" xr:uid="{9DCEA8F2-81F3-449B-AC83-215ED2EA5892}"/>
    <cellStyle name="Normal 9 2 2 9 2 3" xfId="23801" xr:uid="{902544C2-494B-46B9-9204-46D14C6B34F9}"/>
    <cellStyle name="Normal 9 2 2 9 3" xfId="11155" xr:uid="{D2165E62-2356-47DB-B0B9-BB51EB843CDC}"/>
    <cellStyle name="Normal 9 2 2 9 4" xfId="19584" xr:uid="{B7ACABAA-7E5D-4AEF-A55F-9E9C447F71FD}"/>
    <cellStyle name="Normal 9 2 3" xfId="520" xr:uid="{00000000-0005-0000-0000-00000B1F0000}"/>
    <cellStyle name="Normal 9 2 3 10" xfId="9098" xr:uid="{0235566D-42B5-404D-AB4A-46BC4825248B}"/>
    <cellStyle name="Normal 9 2 3 11" xfId="17527" xr:uid="{D29A06B1-0608-48DF-AA6D-82BFEC0B3C93}"/>
    <cellStyle name="Normal 9 2 3 2" xfId="521" xr:uid="{00000000-0005-0000-0000-00000C1F0000}"/>
    <cellStyle name="Normal 9 2 3 2 10" xfId="17528" xr:uid="{675FDCF9-DF67-4CF9-9EB6-F0B07B935792}"/>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76" xr:uid="{96AA80B4-B375-4654-9112-A2220D191A8B}"/>
    <cellStyle name="Normal 9 2 3 2 2 2 2 2 3" xfId="24304" xr:uid="{0C2D5A68-0E70-4A38-8757-EDCCEE07E2C3}"/>
    <cellStyle name="Normal 9 2 3 2 2 2 2 3" xfId="11658" xr:uid="{07AAC185-E1FD-48E6-B556-253949A3227B}"/>
    <cellStyle name="Normal 9 2 3 2 2 2 2 4" xfId="20087" xr:uid="{4927BB7F-B2A6-40DD-9B4C-C93B0F2F4CCD}"/>
    <cellStyle name="Normal 9 2 3 2 2 2 3" xfId="5302" xr:uid="{00000000-0005-0000-0000-0000111F0000}"/>
    <cellStyle name="Normal 9 2 3 2 2 2 3 2" xfId="13731" xr:uid="{6A8DCA6B-6EA2-4D6A-B64E-57487F9ADDBB}"/>
    <cellStyle name="Normal 9 2 3 2 2 2 3 3" xfId="22159" xr:uid="{22753A79-FC62-4725-81B1-09D820835EF9}"/>
    <cellStyle name="Normal 9 2 3 2 2 2 4" xfId="9513" xr:uid="{439AF3EF-65E8-47A2-A9EB-7F1F34DEB558}"/>
    <cellStyle name="Normal 9 2 3 2 2 2 5" xfId="17942" xr:uid="{9076DF00-E5EE-409D-829A-EC4ABB7B578E}"/>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9" xr:uid="{90BFAAFC-5464-4F79-BB76-A230B3B27291}"/>
    <cellStyle name="Normal 9 2 3 2 2 3 2 2 3" xfId="24717" xr:uid="{C9C4748E-7BD4-4813-A6CC-8FDD82976E33}"/>
    <cellStyle name="Normal 9 2 3 2 2 3 2 3" xfId="12071" xr:uid="{479C0A18-ED95-44CE-A00A-A3DFF32E705B}"/>
    <cellStyle name="Normal 9 2 3 2 2 3 2 4" xfId="20500" xr:uid="{9169DB58-E1F9-4A7A-B8EE-4B56CBBCB740}"/>
    <cellStyle name="Normal 9 2 3 2 2 3 3" xfId="5715" xr:uid="{00000000-0005-0000-0000-0000151F0000}"/>
    <cellStyle name="Normal 9 2 3 2 2 3 3 2" xfId="14144" xr:uid="{8512199A-90B9-4105-B5C4-07805F5C8A3E}"/>
    <cellStyle name="Normal 9 2 3 2 2 3 3 3" xfId="22572" xr:uid="{389BDBF8-1F54-4B51-A393-85A3868511D2}"/>
    <cellStyle name="Normal 9 2 3 2 2 3 4" xfId="9926" xr:uid="{22EA2F40-1145-44CB-A933-59BEA8449EBB}"/>
    <cellStyle name="Normal 9 2 3 2 2 3 5" xfId="18355" xr:uid="{72C812A0-E1BB-4CC1-9769-E831AFCCEAD3}"/>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702" xr:uid="{5A27414E-50AB-4807-8F4E-DF6C66C516D0}"/>
    <cellStyle name="Normal 9 2 3 2 2 4 2 2 3" xfId="25130" xr:uid="{210CBD04-8691-48AB-A39E-34FFBB2EBC2F}"/>
    <cellStyle name="Normal 9 2 3 2 2 4 2 3" xfId="12484" xr:uid="{43EA52FE-BCE6-499B-A6C3-90AC7EEBFA7D}"/>
    <cellStyle name="Normal 9 2 3 2 2 4 2 4" xfId="20913" xr:uid="{90D9DE49-C253-4B75-BCFC-784755FEE183}"/>
    <cellStyle name="Normal 9 2 3 2 2 4 3" xfId="6128" xr:uid="{00000000-0005-0000-0000-0000191F0000}"/>
    <cellStyle name="Normal 9 2 3 2 2 4 3 2" xfId="14557" xr:uid="{8B5EFE0C-734C-4B5C-9B8D-74231C4F7F7B}"/>
    <cellStyle name="Normal 9 2 3 2 2 4 3 3" xfId="22985" xr:uid="{16E33943-95A2-4EEB-9C19-87B36CDE158B}"/>
    <cellStyle name="Normal 9 2 3 2 2 4 4" xfId="10339" xr:uid="{4F8F6D3C-611C-49CD-9644-4AFA0C2F4E4E}"/>
    <cellStyle name="Normal 9 2 3 2 2 4 5" xfId="18768" xr:uid="{12AFCBCB-E9B4-4091-910A-95B60135B9B5}"/>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15" xr:uid="{CA20B83C-669B-4FE2-8491-654924C415B8}"/>
    <cellStyle name="Normal 9 2 3 2 2 5 2 2 3" xfId="25543" xr:uid="{FC7BE790-3B63-4E9D-8F1A-F5323485F735}"/>
    <cellStyle name="Normal 9 2 3 2 2 5 2 3" xfId="12897" xr:uid="{412304E4-B347-45E2-9575-B12A1541D07F}"/>
    <cellStyle name="Normal 9 2 3 2 2 5 2 4" xfId="21326" xr:uid="{BF8F83E1-1942-440A-BD27-EA68607ED257}"/>
    <cellStyle name="Normal 9 2 3 2 2 5 3" xfId="6541" xr:uid="{00000000-0005-0000-0000-00001D1F0000}"/>
    <cellStyle name="Normal 9 2 3 2 2 5 3 2" xfId="14970" xr:uid="{85B74E64-381F-4384-AEBE-BD28BAEA9AF4}"/>
    <cellStyle name="Normal 9 2 3 2 2 5 3 3" xfId="23398" xr:uid="{BBEEFB41-F3B9-4493-96E9-452B77D29D60}"/>
    <cellStyle name="Normal 9 2 3 2 2 5 4" xfId="10752" xr:uid="{528416C4-B377-4C15-812C-6853FB8E1E5E}"/>
    <cellStyle name="Normal 9 2 3 2 2 5 5" xfId="19181" xr:uid="{A947BA8D-20C7-48AB-9440-E1843DC680D4}"/>
    <cellStyle name="Normal 9 2 3 2 2 6" xfId="2669" xr:uid="{00000000-0005-0000-0000-00001E1F0000}"/>
    <cellStyle name="Normal 9 2 3 2 2 6 2" xfId="6954" xr:uid="{00000000-0005-0000-0000-00001F1F0000}"/>
    <cellStyle name="Normal 9 2 3 2 2 6 2 2" xfId="15383" xr:uid="{CB94024E-F2FF-4FBC-9724-8AA2B0339F77}"/>
    <cellStyle name="Normal 9 2 3 2 2 6 2 3" xfId="23811" xr:uid="{779AB9A6-4905-45ED-A8CB-A85476D90248}"/>
    <cellStyle name="Normal 9 2 3 2 2 6 3" xfId="11165" xr:uid="{30FBBD4E-E6A8-4A5C-B7BC-89121A160D3A}"/>
    <cellStyle name="Normal 9 2 3 2 2 6 4" xfId="19594" xr:uid="{D1E2FF96-96A0-43AA-A535-8B459B81B626}"/>
    <cellStyle name="Normal 9 2 3 2 2 7" xfId="4889" xr:uid="{00000000-0005-0000-0000-0000201F0000}"/>
    <cellStyle name="Normal 9 2 3 2 2 7 2" xfId="13318" xr:uid="{3F01AE1F-EDCF-445E-B9CD-3C5F4A6ACEBA}"/>
    <cellStyle name="Normal 9 2 3 2 2 7 3" xfId="21746" xr:uid="{64B642CE-17F6-4447-9CDA-D6B7737C01BE}"/>
    <cellStyle name="Normal 9 2 3 2 2 8" xfId="9100" xr:uid="{23C181BE-75A4-44DC-A877-85A60AE35E9B}"/>
    <cellStyle name="Normal 9 2 3 2 2 9" xfId="17529" xr:uid="{EBF651B8-8539-4C58-AD68-ECE54BFA0A51}"/>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75" xr:uid="{0B9AE6AA-01AE-4A0D-B7D0-AD7C11B1E374}"/>
    <cellStyle name="Normal 9 2 3 2 3 2 2 3" xfId="24303" xr:uid="{3D328677-7EFF-4DEA-ABD4-E122BCA78508}"/>
    <cellStyle name="Normal 9 2 3 2 3 2 3" xfId="11657" xr:uid="{0ADC07DC-40AF-4A61-9703-2B4A55B63D2F}"/>
    <cellStyle name="Normal 9 2 3 2 3 2 4" xfId="20086" xr:uid="{C9C4FC29-A5FC-42B7-AD11-3AFD257340EF}"/>
    <cellStyle name="Normal 9 2 3 2 3 3" xfId="5301" xr:uid="{00000000-0005-0000-0000-0000241F0000}"/>
    <cellStyle name="Normal 9 2 3 2 3 3 2" xfId="13730" xr:uid="{3B0D83F3-7BBB-4A35-A6D9-46A1830DDC02}"/>
    <cellStyle name="Normal 9 2 3 2 3 3 3" xfId="22158" xr:uid="{3D7C94BE-FEC9-45A0-8332-0E7D77C11164}"/>
    <cellStyle name="Normal 9 2 3 2 3 4" xfId="9512" xr:uid="{10643A85-CAB8-4AFC-BB60-90B098E6E183}"/>
    <cellStyle name="Normal 9 2 3 2 3 5" xfId="17941" xr:uid="{56D4AB02-780B-434C-BAB1-82B038EB0118}"/>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8" xr:uid="{BCE7071F-71CE-4DE0-BF70-E840024CC970}"/>
    <cellStyle name="Normal 9 2 3 2 4 2 2 3" xfId="24716" xr:uid="{C6DC97AE-C0C8-43AC-9BC0-BA3D59345692}"/>
    <cellStyle name="Normal 9 2 3 2 4 2 3" xfId="12070" xr:uid="{E6698DF8-1233-4FDA-9576-CFC66A8B5B88}"/>
    <cellStyle name="Normal 9 2 3 2 4 2 4" xfId="20499" xr:uid="{357C8CB0-E0CC-43AB-BC6C-A648098388D8}"/>
    <cellStyle name="Normal 9 2 3 2 4 3" xfId="5714" xr:uid="{00000000-0005-0000-0000-0000281F0000}"/>
    <cellStyle name="Normal 9 2 3 2 4 3 2" xfId="14143" xr:uid="{38356686-61A8-49E8-BB95-09793DBA5ADF}"/>
    <cellStyle name="Normal 9 2 3 2 4 3 3" xfId="22571" xr:uid="{948F8E64-69A3-40F6-9B21-413A22210D82}"/>
    <cellStyle name="Normal 9 2 3 2 4 4" xfId="9925" xr:uid="{12DAEF66-F6A7-46CA-8633-DCEE6FDFF3E1}"/>
    <cellStyle name="Normal 9 2 3 2 4 5" xfId="18354" xr:uid="{97C29EDA-7D38-4D94-9C06-C67753E1EA52}"/>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701" xr:uid="{1E781569-5C19-4B17-8452-45A09FD3DEAB}"/>
    <cellStyle name="Normal 9 2 3 2 5 2 2 3" xfId="25129" xr:uid="{BB94BD7B-AD29-4419-BCE9-95C47AB73F80}"/>
    <cellStyle name="Normal 9 2 3 2 5 2 3" xfId="12483" xr:uid="{BB79DA4F-B326-47BE-AB09-86F94156EC5C}"/>
    <cellStyle name="Normal 9 2 3 2 5 2 4" xfId="20912" xr:uid="{2432A751-12AF-40FA-A878-D59B8E123351}"/>
    <cellStyle name="Normal 9 2 3 2 5 3" xfId="6127" xr:uid="{00000000-0005-0000-0000-00002C1F0000}"/>
    <cellStyle name="Normal 9 2 3 2 5 3 2" xfId="14556" xr:uid="{4CB562B4-8AD2-4F6E-AF26-AC6B1E751DB6}"/>
    <cellStyle name="Normal 9 2 3 2 5 3 3" xfId="22984" xr:uid="{3068B4E3-E94C-45B0-B790-E1D6C5649F8A}"/>
    <cellStyle name="Normal 9 2 3 2 5 4" xfId="10338" xr:uid="{0C762979-ED47-4FBA-9590-2BB708EB41E8}"/>
    <cellStyle name="Normal 9 2 3 2 5 5" xfId="18767" xr:uid="{2E99D1F4-183C-4A5B-86AC-3CC515E9991A}"/>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14" xr:uid="{0C86F920-5716-4D33-A449-A9A6978F6B52}"/>
    <cellStyle name="Normal 9 2 3 2 6 2 2 3" xfId="25542" xr:uid="{33ED7422-3801-4094-AF6F-8793DDD3E3D2}"/>
    <cellStyle name="Normal 9 2 3 2 6 2 3" xfId="12896" xr:uid="{0EE79A80-5D5B-492A-9ED0-94E71B4D1F59}"/>
    <cellStyle name="Normal 9 2 3 2 6 2 4" xfId="21325" xr:uid="{4F57AA72-311F-424E-8B27-AC63A1FF325E}"/>
    <cellStyle name="Normal 9 2 3 2 6 3" xfId="6540" xr:uid="{00000000-0005-0000-0000-0000301F0000}"/>
    <cellStyle name="Normal 9 2 3 2 6 3 2" xfId="14969" xr:uid="{3754CBFB-F8C6-4214-8654-982E47AF0E8F}"/>
    <cellStyle name="Normal 9 2 3 2 6 3 3" xfId="23397" xr:uid="{5873489A-E008-4D68-85DE-89C10E98BB53}"/>
    <cellStyle name="Normal 9 2 3 2 6 4" xfId="10751" xr:uid="{A50CAD2B-31B1-4AE3-BD9A-2680185B5AAC}"/>
    <cellStyle name="Normal 9 2 3 2 6 5" xfId="19180" xr:uid="{8FBF6717-7539-4D62-883A-2445CDE4A295}"/>
    <cellStyle name="Normal 9 2 3 2 7" xfId="2668" xr:uid="{00000000-0005-0000-0000-0000311F0000}"/>
    <cellStyle name="Normal 9 2 3 2 7 2" xfId="6953" xr:uid="{00000000-0005-0000-0000-0000321F0000}"/>
    <cellStyle name="Normal 9 2 3 2 7 2 2" xfId="15382" xr:uid="{CD5271AC-C9DE-43E5-894B-0C00DA344D1B}"/>
    <cellStyle name="Normal 9 2 3 2 7 2 3" xfId="23810" xr:uid="{0EE8451E-B5B7-485F-BC9F-3E01DFEEB66E}"/>
    <cellStyle name="Normal 9 2 3 2 7 3" xfId="11164" xr:uid="{AB1FBEB2-DFB7-4329-8944-9B2CC7BF9986}"/>
    <cellStyle name="Normal 9 2 3 2 7 4" xfId="19593" xr:uid="{7F71726A-7889-4468-88E5-A1903DAFAE6E}"/>
    <cellStyle name="Normal 9 2 3 2 8" xfId="4888" xr:uid="{00000000-0005-0000-0000-0000331F0000}"/>
    <cellStyle name="Normal 9 2 3 2 8 2" xfId="13317" xr:uid="{87D21210-0F77-4146-A0DA-4BC319FE4C5A}"/>
    <cellStyle name="Normal 9 2 3 2 8 3" xfId="21745" xr:uid="{B3B445B5-A94B-4B7A-92C2-1C779D8A7D38}"/>
    <cellStyle name="Normal 9 2 3 2 9" xfId="9099" xr:uid="{B1F17B33-175A-42E7-A2EB-FF9767B91A8B}"/>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7" xr:uid="{66B75EF1-2F7C-4098-8B74-8B2AEA0AF4D0}"/>
    <cellStyle name="Normal 9 2 3 3 2 2 2 3" xfId="24305" xr:uid="{2759510E-4C53-48E0-9E05-D877CEE9F861}"/>
    <cellStyle name="Normal 9 2 3 3 2 2 3" xfId="11659" xr:uid="{6F49AB46-4AAF-43AB-93A9-2E0BBF7739FB}"/>
    <cellStyle name="Normal 9 2 3 3 2 2 4" xfId="20088" xr:uid="{6F046E2F-3159-4026-AC51-E85717919106}"/>
    <cellStyle name="Normal 9 2 3 3 2 3" xfId="5303" xr:uid="{00000000-0005-0000-0000-0000381F0000}"/>
    <cellStyle name="Normal 9 2 3 3 2 3 2" xfId="13732" xr:uid="{50D32162-53EC-4333-AC6C-43558029BA22}"/>
    <cellStyle name="Normal 9 2 3 3 2 3 3" xfId="22160" xr:uid="{32647EE4-72C9-4E09-80F8-51162874D97B}"/>
    <cellStyle name="Normal 9 2 3 3 2 4" xfId="9514" xr:uid="{65D4B083-655B-432B-A66E-355F53E6C1D7}"/>
    <cellStyle name="Normal 9 2 3 3 2 5" xfId="17943" xr:uid="{3FE737E9-6B16-41CA-A879-2882082C5059}"/>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90" xr:uid="{537CDC22-C1C4-4011-93D0-B0318A4ECD0E}"/>
    <cellStyle name="Normal 9 2 3 3 3 2 2 3" xfId="24718" xr:uid="{550E51BD-33B5-4B6A-9238-5E9879FDB21E}"/>
    <cellStyle name="Normal 9 2 3 3 3 2 3" xfId="12072" xr:uid="{04F0F082-8D2D-400A-BD80-73F025F67BB8}"/>
    <cellStyle name="Normal 9 2 3 3 3 2 4" xfId="20501" xr:uid="{ABD5CE0C-B05D-471D-8FF7-65C57725295F}"/>
    <cellStyle name="Normal 9 2 3 3 3 3" xfId="5716" xr:uid="{00000000-0005-0000-0000-00003C1F0000}"/>
    <cellStyle name="Normal 9 2 3 3 3 3 2" xfId="14145" xr:uid="{709CD366-4296-4926-82DE-8B250ABFF587}"/>
    <cellStyle name="Normal 9 2 3 3 3 3 3" xfId="22573" xr:uid="{0CD99211-96D0-45C3-93A0-6F87DCADED79}"/>
    <cellStyle name="Normal 9 2 3 3 3 4" xfId="9927" xr:uid="{8202FBD7-FB53-4515-AED1-84320E421D5D}"/>
    <cellStyle name="Normal 9 2 3 3 3 5" xfId="18356" xr:uid="{9BE1DC57-E992-4600-86C3-27C9579CF124}"/>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703" xr:uid="{74442034-F5DE-4EB5-877A-18253CE9DD16}"/>
    <cellStyle name="Normal 9 2 3 3 4 2 2 3" xfId="25131" xr:uid="{F6BCD613-2866-4E7F-BC4A-30819FD6265D}"/>
    <cellStyle name="Normal 9 2 3 3 4 2 3" xfId="12485" xr:uid="{71B3B886-CFF4-46D5-9663-55F623FB1E8B}"/>
    <cellStyle name="Normal 9 2 3 3 4 2 4" xfId="20914" xr:uid="{374D24B0-5E73-4D03-A66E-356260947E29}"/>
    <cellStyle name="Normal 9 2 3 3 4 3" xfId="6129" xr:uid="{00000000-0005-0000-0000-0000401F0000}"/>
    <cellStyle name="Normal 9 2 3 3 4 3 2" xfId="14558" xr:uid="{3AB691FF-3239-4A2C-8474-47B9EDFCE221}"/>
    <cellStyle name="Normal 9 2 3 3 4 3 3" xfId="22986" xr:uid="{D523733D-1FE6-40C7-924F-DCC4B9607C4B}"/>
    <cellStyle name="Normal 9 2 3 3 4 4" xfId="10340" xr:uid="{1F7FBEBC-9264-4E7D-87AA-616C7112E5CC}"/>
    <cellStyle name="Normal 9 2 3 3 4 5" xfId="18769" xr:uid="{8815DDCE-CF46-4619-8FE9-CFDE1F34621E}"/>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16" xr:uid="{CDC7E281-9D01-4926-94FC-4392B5C8FE75}"/>
    <cellStyle name="Normal 9 2 3 3 5 2 2 3" xfId="25544" xr:uid="{66F39A52-3B67-477A-81DE-0C88AED339DC}"/>
    <cellStyle name="Normal 9 2 3 3 5 2 3" xfId="12898" xr:uid="{7601CACA-6072-4356-A126-FBD25E2D1DD9}"/>
    <cellStyle name="Normal 9 2 3 3 5 2 4" xfId="21327" xr:uid="{5FB69BB8-9788-43E7-A262-7B348ACC5A98}"/>
    <cellStyle name="Normal 9 2 3 3 5 3" xfId="6542" xr:uid="{00000000-0005-0000-0000-0000441F0000}"/>
    <cellStyle name="Normal 9 2 3 3 5 3 2" xfId="14971" xr:uid="{D817CE60-3CA4-49E2-A2EC-1ACE69083EC3}"/>
    <cellStyle name="Normal 9 2 3 3 5 3 3" xfId="23399" xr:uid="{843AEF7E-C67D-4D8D-888D-792470F61163}"/>
    <cellStyle name="Normal 9 2 3 3 5 4" xfId="10753" xr:uid="{D4B4F477-9D26-4086-A0A1-7E2B0097AE95}"/>
    <cellStyle name="Normal 9 2 3 3 5 5" xfId="19182" xr:uid="{74C1426F-0827-4916-AF07-0BF53BAA51B3}"/>
    <cellStyle name="Normal 9 2 3 3 6" xfId="2670" xr:uid="{00000000-0005-0000-0000-0000451F0000}"/>
    <cellStyle name="Normal 9 2 3 3 6 2" xfId="6955" xr:uid="{00000000-0005-0000-0000-0000461F0000}"/>
    <cellStyle name="Normal 9 2 3 3 6 2 2" xfId="15384" xr:uid="{5AA903B7-FBF4-420E-B48D-580882B307B3}"/>
    <cellStyle name="Normal 9 2 3 3 6 2 3" xfId="23812" xr:uid="{0B7B4B76-A9C6-4B26-B365-33E68BE70276}"/>
    <cellStyle name="Normal 9 2 3 3 6 3" xfId="11166" xr:uid="{00AE493B-5275-4CE3-8D6E-883678C56308}"/>
    <cellStyle name="Normal 9 2 3 3 6 4" xfId="19595" xr:uid="{33BE37D5-E35B-4F22-9485-6ABE5D9BA3C1}"/>
    <cellStyle name="Normal 9 2 3 3 7" xfId="4890" xr:uid="{00000000-0005-0000-0000-0000471F0000}"/>
    <cellStyle name="Normal 9 2 3 3 7 2" xfId="13319" xr:uid="{300015F7-39B9-47E3-8C15-B316BA65F82C}"/>
    <cellStyle name="Normal 9 2 3 3 7 3" xfId="21747" xr:uid="{FD7906DF-A9D1-4A2E-AB2D-E7BCD073AA83}"/>
    <cellStyle name="Normal 9 2 3 3 8" xfId="9101" xr:uid="{03879FFA-D010-483D-BB62-5EC26D9D7751}"/>
    <cellStyle name="Normal 9 2 3 3 9" xfId="17530" xr:uid="{E41C85F6-B0ED-4789-8FAE-345D2127CFBD}"/>
    <cellStyle name="Normal 9 2 3 4" xfId="988" xr:uid="{00000000-0005-0000-0000-0000481F0000}"/>
    <cellStyle name="Normal 9 2 3 4 2" xfId="3221" xr:uid="{00000000-0005-0000-0000-0000491F0000}"/>
    <cellStyle name="Normal 9 2 3 4 2 2" xfId="7445" xr:uid="{00000000-0005-0000-0000-00004A1F0000}"/>
    <cellStyle name="Normal 9 2 3 4 2 2 2" xfId="15874" xr:uid="{1F5BCCE0-B3C7-4EB4-8E72-53F83FBBBE27}"/>
    <cellStyle name="Normal 9 2 3 4 2 2 3" xfId="24302" xr:uid="{C3767BE4-986C-4F97-941D-E2A8140A006A}"/>
    <cellStyle name="Normal 9 2 3 4 2 3" xfId="11656" xr:uid="{DA895134-C79C-446C-ABA0-C03DC9771885}"/>
    <cellStyle name="Normal 9 2 3 4 2 4" xfId="20085" xr:uid="{D644EF75-F665-4466-B0E5-BFBD3ACB3CE4}"/>
    <cellStyle name="Normal 9 2 3 4 3" xfId="5300" xr:uid="{00000000-0005-0000-0000-00004B1F0000}"/>
    <cellStyle name="Normal 9 2 3 4 3 2" xfId="13729" xr:uid="{ADD1B642-D76C-45F9-895D-1C26BAD4B500}"/>
    <cellStyle name="Normal 9 2 3 4 3 3" xfId="22157" xr:uid="{02FAA9CA-85C6-4BC1-830A-847E88C73B6D}"/>
    <cellStyle name="Normal 9 2 3 4 4" xfId="9511" xr:uid="{19AE4842-599F-4841-B681-268F754EB9A5}"/>
    <cellStyle name="Normal 9 2 3 4 5" xfId="17940" xr:uid="{A8F1BFF2-DE52-4CF7-B140-A9D8A0BE0E8C}"/>
    <cellStyle name="Normal 9 2 3 5" xfId="1404" xr:uid="{00000000-0005-0000-0000-00004C1F0000}"/>
    <cellStyle name="Normal 9 2 3 5 2" xfId="3634" xr:uid="{00000000-0005-0000-0000-00004D1F0000}"/>
    <cellStyle name="Normal 9 2 3 5 2 2" xfId="7858" xr:uid="{00000000-0005-0000-0000-00004E1F0000}"/>
    <cellStyle name="Normal 9 2 3 5 2 2 2" xfId="16287" xr:uid="{A9EABC67-F47B-4340-A946-F20D1C95A465}"/>
    <cellStyle name="Normal 9 2 3 5 2 2 3" xfId="24715" xr:uid="{B975A264-40F6-4D16-A72A-E1A211B5396E}"/>
    <cellStyle name="Normal 9 2 3 5 2 3" xfId="12069" xr:uid="{5C9E50D8-BBD9-4735-9DFC-C03515501DA3}"/>
    <cellStyle name="Normal 9 2 3 5 2 4" xfId="20498" xr:uid="{65E99B48-D1C8-4756-ADC2-611E476B0EC4}"/>
    <cellStyle name="Normal 9 2 3 5 3" xfId="5713" xr:uid="{00000000-0005-0000-0000-00004F1F0000}"/>
    <cellStyle name="Normal 9 2 3 5 3 2" xfId="14142" xr:uid="{BADB097A-EEEF-43E0-8424-4ACD32EB2A39}"/>
    <cellStyle name="Normal 9 2 3 5 3 3" xfId="22570" xr:uid="{874378C0-5E84-4957-A8AE-B85579CF88A9}"/>
    <cellStyle name="Normal 9 2 3 5 4" xfId="9924" xr:uid="{E97F1F9E-2546-4762-A813-4497670F7A28}"/>
    <cellStyle name="Normal 9 2 3 5 5" xfId="18353" xr:uid="{6562ADD8-8FC9-4860-BABE-BAC0B3D64CDF}"/>
    <cellStyle name="Normal 9 2 3 6" xfId="1817" xr:uid="{00000000-0005-0000-0000-0000501F0000}"/>
    <cellStyle name="Normal 9 2 3 6 2" xfId="4047" xr:uid="{00000000-0005-0000-0000-0000511F0000}"/>
    <cellStyle name="Normal 9 2 3 6 2 2" xfId="8271" xr:uid="{00000000-0005-0000-0000-0000521F0000}"/>
    <cellStyle name="Normal 9 2 3 6 2 2 2" xfId="16700" xr:uid="{0F404ABA-8CFA-4323-9200-797D813005D8}"/>
    <cellStyle name="Normal 9 2 3 6 2 2 3" xfId="25128" xr:uid="{C9FB5527-2694-4ED8-B657-CC8962701161}"/>
    <cellStyle name="Normal 9 2 3 6 2 3" xfId="12482" xr:uid="{2CA3164E-BF6F-4E42-9EA8-E9FBD194E269}"/>
    <cellStyle name="Normal 9 2 3 6 2 4" xfId="20911" xr:uid="{E108FA67-88AE-49F8-BC4D-C547EE036819}"/>
    <cellStyle name="Normal 9 2 3 6 3" xfId="6126" xr:uid="{00000000-0005-0000-0000-0000531F0000}"/>
    <cellStyle name="Normal 9 2 3 6 3 2" xfId="14555" xr:uid="{D8D943EE-9A1E-453E-A99D-1EEF9A467DDB}"/>
    <cellStyle name="Normal 9 2 3 6 3 3" xfId="22983" xr:uid="{11D9685D-74AB-426F-9EA6-B669179C34F6}"/>
    <cellStyle name="Normal 9 2 3 6 4" xfId="10337" xr:uid="{98FBC8CF-3734-4110-B852-A6ECF46D64BE}"/>
    <cellStyle name="Normal 9 2 3 6 5" xfId="18766" xr:uid="{12047B9C-EF8F-4830-B3A2-916354522587}"/>
    <cellStyle name="Normal 9 2 3 7" xfId="2231" xr:uid="{00000000-0005-0000-0000-0000541F0000}"/>
    <cellStyle name="Normal 9 2 3 7 2" xfId="4460" xr:uid="{00000000-0005-0000-0000-0000551F0000}"/>
    <cellStyle name="Normal 9 2 3 7 2 2" xfId="8684" xr:uid="{00000000-0005-0000-0000-0000561F0000}"/>
    <cellStyle name="Normal 9 2 3 7 2 2 2" xfId="17113" xr:uid="{232DDF39-851B-484A-9744-CBE6A7C7D0AC}"/>
    <cellStyle name="Normal 9 2 3 7 2 2 3" xfId="25541" xr:uid="{B92F5CD1-8163-4663-8C0E-58B83651BC4B}"/>
    <cellStyle name="Normal 9 2 3 7 2 3" xfId="12895" xr:uid="{FA112B7F-F3F7-48AB-97CC-3B0215BB72DB}"/>
    <cellStyle name="Normal 9 2 3 7 2 4" xfId="21324" xr:uid="{B8E3FD7C-80CE-451D-998C-A4458747E98F}"/>
    <cellStyle name="Normal 9 2 3 7 3" xfId="6539" xr:uid="{00000000-0005-0000-0000-0000571F0000}"/>
    <cellStyle name="Normal 9 2 3 7 3 2" xfId="14968" xr:uid="{C62D3183-D67D-4CA9-A562-716DE56A935E}"/>
    <cellStyle name="Normal 9 2 3 7 3 3" xfId="23396" xr:uid="{CB2F0578-F7A8-4D95-8712-7A371D1579F9}"/>
    <cellStyle name="Normal 9 2 3 7 4" xfId="10750" xr:uid="{CC09AFA3-26CB-4673-B691-A9ACF8EAE21D}"/>
    <cellStyle name="Normal 9 2 3 7 5" xfId="19179" xr:uid="{1A55C4B5-19E2-4AF8-9710-8EDC48A41EBC}"/>
    <cellStyle name="Normal 9 2 3 8" xfId="2667" xr:uid="{00000000-0005-0000-0000-0000581F0000}"/>
    <cellStyle name="Normal 9 2 3 8 2" xfId="6952" xr:uid="{00000000-0005-0000-0000-0000591F0000}"/>
    <cellStyle name="Normal 9 2 3 8 2 2" xfId="15381" xr:uid="{C0B25050-9FE2-4F80-8132-38C5E76149F8}"/>
    <cellStyle name="Normal 9 2 3 8 2 3" xfId="23809" xr:uid="{18412361-6AEF-49FC-A2AC-A105398E0D8C}"/>
    <cellStyle name="Normal 9 2 3 8 3" xfId="11163" xr:uid="{6EBBF77C-BC0E-47F2-853B-59082C146AA8}"/>
    <cellStyle name="Normal 9 2 3 8 4" xfId="19592" xr:uid="{10E41C30-6450-4D42-96C3-2488D4E0E6FB}"/>
    <cellStyle name="Normal 9 2 3 9" xfId="4887" xr:uid="{00000000-0005-0000-0000-00005A1F0000}"/>
    <cellStyle name="Normal 9 2 3 9 2" xfId="13316" xr:uid="{A294E186-8E89-47AF-BE75-80F3F89C5C0E}"/>
    <cellStyle name="Normal 9 2 3 9 3" xfId="21744" xr:uid="{E2226639-E0A5-46D0-9273-ECD09A13AB41}"/>
    <cellStyle name="Normal 9 2 4" xfId="524" xr:uid="{00000000-0005-0000-0000-00005B1F0000}"/>
    <cellStyle name="Normal 9 2 4 10" xfId="17531" xr:uid="{C1050337-BE36-4715-826B-638DC998D9EF}"/>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9" xr:uid="{676C2AC9-59F9-4159-9CBE-F416DB4B9893}"/>
    <cellStyle name="Normal 9 2 4 2 2 2 2 3" xfId="24307" xr:uid="{D493B059-8256-434A-A306-3CAEEC6A6AC4}"/>
    <cellStyle name="Normal 9 2 4 2 2 2 3" xfId="11661" xr:uid="{4811E022-6193-4A6E-8608-74FF0D851D66}"/>
    <cellStyle name="Normal 9 2 4 2 2 2 4" xfId="20090" xr:uid="{B6E39370-7213-40E6-9AFE-688891497AAE}"/>
    <cellStyle name="Normal 9 2 4 2 2 3" xfId="5305" xr:uid="{00000000-0005-0000-0000-0000601F0000}"/>
    <cellStyle name="Normal 9 2 4 2 2 3 2" xfId="13734" xr:uid="{58BF36A7-1E4B-40A2-A305-59E44DA9B35E}"/>
    <cellStyle name="Normal 9 2 4 2 2 3 3" xfId="22162" xr:uid="{6253316D-EA7A-4D04-9698-C4960BEDF88B}"/>
    <cellStyle name="Normal 9 2 4 2 2 4" xfId="9516" xr:uid="{CB1780CE-6DDC-4713-B4BC-6F0DC4CFABBC}"/>
    <cellStyle name="Normal 9 2 4 2 2 5" xfId="17945" xr:uid="{1704148C-81C4-414A-B147-182A6E4D3EAA}"/>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92" xr:uid="{A489285D-9978-451F-BEC1-6E72EBC587D7}"/>
    <cellStyle name="Normal 9 2 4 2 3 2 2 3" xfId="24720" xr:uid="{59A15EA9-FEC3-4F0C-A59A-C7A75D946F83}"/>
    <cellStyle name="Normal 9 2 4 2 3 2 3" xfId="12074" xr:uid="{B74AFA5A-D59F-438A-A0D2-D4183717A038}"/>
    <cellStyle name="Normal 9 2 4 2 3 2 4" xfId="20503" xr:uid="{FD7C12E0-EBBE-4D91-8E55-82988A962ED8}"/>
    <cellStyle name="Normal 9 2 4 2 3 3" xfId="5718" xr:uid="{00000000-0005-0000-0000-0000641F0000}"/>
    <cellStyle name="Normal 9 2 4 2 3 3 2" xfId="14147" xr:uid="{E24500D8-7A6B-401D-9443-45BA30502499}"/>
    <cellStyle name="Normal 9 2 4 2 3 3 3" xfId="22575" xr:uid="{1D226895-0885-45D1-8331-9A25B56A38C2}"/>
    <cellStyle name="Normal 9 2 4 2 3 4" xfId="9929" xr:uid="{5A63C251-2C33-4EB6-960C-4E98700FFC95}"/>
    <cellStyle name="Normal 9 2 4 2 3 5" xfId="18358" xr:uid="{A5485077-E5AD-4CE0-A3E2-C28BC1F05E46}"/>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705" xr:uid="{A88D8729-5A53-4D09-ACEB-D430DB8C2D5B}"/>
    <cellStyle name="Normal 9 2 4 2 4 2 2 3" xfId="25133" xr:uid="{02A4E011-7ECF-45BA-A4C8-6360E43BF285}"/>
    <cellStyle name="Normal 9 2 4 2 4 2 3" xfId="12487" xr:uid="{5A6887CA-3B7A-4E8C-817C-2952673788AE}"/>
    <cellStyle name="Normal 9 2 4 2 4 2 4" xfId="20916" xr:uid="{DBB53990-27A4-4F75-9301-0BF960FF7C69}"/>
    <cellStyle name="Normal 9 2 4 2 4 3" xfId="6131" xr:uid="{00000000-0005-0000-0000-0000681F0000}"/>
    <cellStyle name="Normal 9 2 4 2 4 3 2" xfId="14560" xr:uid="{5BF67119-5776-427D-BC60-1CA7283A7809}"/>
    <cellStyle name="Normal 9 2 4 2 4 3 3" xfId="22988" xr:uid="{F3DAC678-6030-4E2F-9CD3-DCFE1ECA419F}"/>
    <cellStyle name="Normal 9 2 4 2 4 4" xfId="10342" xr:uid="{1E530DAC-0D0D-49BE-883A-5C873CE46DBD}"/>
    <cellStyle name="Normal 9 2 4 2 4 5" xfId="18771" xr:uid="{F64BC20F-9400-423B-94C4-48709AAB9898}"/>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8" xr:uid="{287B1621-E931-4063-B131-CDE3AEE77F31}"/>
    <cellStyle name="Normal 9 2 4 2 5 2 2 3" xfId="25546" xr:uid="{A6B05129-CEE1-42F3-A6E8-2E19A985B6B1}"/>
    <cellStyle name="Normal 9 2 4 2 5 2 3" xfId="12900" xr:uid="{D3439662-D210-4DEF-AC56-8F54364F1004}"/>
    <cellStyle name="Normal 9 2 4 2 5 2 4" xfId="21329" xr:uid="{A6E6718C-AE18-4BDC-B2B5-B425D9F48F31}"/>
    <cellStyle name="Normal 9 2 4 2 5 3" xfId="6544" xr:uid="{00000000-0005-0000-0000-00006C1F0000}"/>
    <cellStyle name="Normal 9 2 4 2 5 3 2" xfId="14973" xr:uid="{4DE9270A-2C80-46BE-BD6F-1FCBD4666066}"/>
    <cellStyle name="Normal 9 2 4 2 5 3 3" xfId="23401" xr:uid="{577A77A1-1651-48F6-8E8C-54A67089EB26}"/>
    <cellStyle name="Normal 9 2 4 2 5 4" xfId="10755" xr:uid="{2BD57D6E-3CF5-4B82-9C35-B267D70DDDB0}"/>
    <cellStyle name="Normal 9 2 4 2 5 5" xfId="19184" xr:uid="{66F1A277-843C-44D8-8F0D-BA1FA47213F6}"/>
    <cellStyle name="Normal 9 2 4 2 6" xfId="2672" xr:uid="{00000000-0005-0000-0000-00006D1F0000}"/>
    <cellStyle name="Normal 9 2 4 2 6 2" xfId="6957" xr:uid="{00000000-0005-0000-0000-00006E1F0000}"/>
    <cellStyle name="Normal 9 2 4 2 6 2 2" xfId="15386" xr:uid="{74EC7449-F5F6-4EBF-805D-B509ECD51EB6}"/>
    <cellStyle name="Normal 9 2 4 2 6 2 3" xfId="23814" xr:uid="{371049C5-3C0C-463E-A358-8BCE9B081FC5}"/>
    <cellStyle name="Normal 9 2 4 2 6 3" xfId="11168" xr:uid="{44D06BFC-D07C-4335-9CE5-C04735B38BD7}"/>
    <cellStyle name="Normal 9 2 4 2 6 4" xfId="19597" xr:uid="{1820B652-8A53-42D2-8557-225F2482177A}"/>
    <cellStyle name="Normal 9 2 4 2 7" xfId="4892" xr:uid="{00000000-0005-0000-0000-00006F1F0000}"/>
    <cellStyle name="Normal 9 2 4 2 7 2" xfId="13321" xr:uid="{83C748E8-3946-4071-A80B-100C40234EDD}"/>
    <cellStyle name="Normal 9 2 4 2 7 3" xfId="21749" xr:uid="{444BBDCB-265A-4E5B-B870-AB0000EB87D7}"/>
    <cellStyle name="Normal 9 2 4 2 8" xfId="9103" xr:uid="{9D6CD5C1-1919-45E4-A42C-C854B111A071}"/>
    <cellStyle name="Normal 9 2 4 2 9" xfId="17532" xr:uid="{C13595E6-7A61-48FF-B02E-45F56ED0E838}"/>
    <cellStyle name="Normal 9 2 4 3" xfId="992" xr:uid="{00000000-0005-0000-0000-0000701F0000}"/>
    <cellStyle name="Normal 9 2 4 3 2" xfId="3225" xr:uid="{00000000-0005-0000-0000-0000711F0000}"/>
    <cellStyle name="Normal 9 2 4 3 2 2" xfId="7449" xr:uid="{00000000-0005-0000-0000-0000721F0000}"/>
    <cellStyle name="Normal 9 2 4 3 2 2 2" xfId="15878" xr:uid="{1E58869C-68F4-4A13-B099-9F7F3EF78CEB}"/>
    <cellStyle name="Normal 9 2 4 3 2 2 3" xfId="24306" xr:uid="{E469B2C4-6D1A-4466-9EA6-76D8C3BA8E7D}"/>
    <cellStyle name="Normal 9 2 4 3 2 3" xfId="11660" xr:uid="{037A99D5-FED2-4015-8E93-D498F504E4FC}"/>
    <cellStyle name="Normal 9 2 4 3 2 4" xfId="20089" xr:uid="{2059E972-8BF4-4248-9C08-C99694DF6898}"/>
    <cellStyle name="Normal 9 2 4 3 3" xfId="5304" xr:uid="{00000000-0005-0000-0000-0000731F0000}"/>
    <cellStyle name="Normal 9 2 4 3 3 2" xfId="13733" xr:uid="{35855467-E798-44C4-8753-D71C7B6CABCC}"/>
    <cellStyle name="Normal 9 2 4 3 3 3" xfId="22161" xr:uid="{13333A2C-7436-4BF2-BDDD-DC9BB721955B}"/>
    <cellStyle name="Normal 9 2 4 3 4" xfId="9515" xr:uid="{C364202F-ED8C-4FFC-8CF1-27E09A808D6D}"/>
    <cellStyle name="Normal 9 2 4 3 5" xfId="17944" xr:uid="{133C5B7B-2E54-4084-9D9F-743E275EECD2}"/>
    <cellStyle name="Normal 9 2 4 4" xfId="1408" xr:uid="{00000000-0005-0000-0000-0000741F0000}"/>
    <cellStyle name="Normal 9 2 4 4 2" xfId="3638" xr:uid="{00000000-0005-0000-0000-0000751F0000}"/>
    <cellStyle name="Normal 9 2 4 4 2 2" xfId="7862" xr:uid="{00000000-0005-0000-0000-0000761F0000}"/>
    <cellStyle name="Normal 9 2 4 4 2 2 2" xfId="16291" xr:uid="{D1E1E95E-45C0-4FD5-8E21-2D599C14514E}"/>
    <cellStyle name="Normal 9 2 4 4 2 2 3" xfId="24719" xr:uid="{6705C184-6D1C-40A3-8F74-4694785346CE}"/>
    <cellStyle name="Normal 9 2 4 4 2 3" xfId="12073" xr:uid="{F49ADD80-945B-475A-B2B5-0743F538FA0B}"/>
    <cellStyle name="Normal 9 2 4 4 2 4" xfId="20502" xr:uid="{8ABDD670-76FD-44AF-ACC4-4BC3733D53FA}"/>
    <cellStyle name="Normal 9 2 4 4 3" xfId="5717" xr:uid="{00000000-0005-0000-0000-0000771F0000}"/>
    <cellStyle name="Normal 9 2 4 4 3 2" xfId="14146" xr:uid="{2C9C9D65-7684-4353-BDCC-544863B42284}"/>
    <cellStyle name="Normal 9 2 4 4 3 3" xfId="22574" xr:uid="{585164D6-BCEF-4877-BF01-48DB7FDC78E9}"/>
    <cellStyle name="Normal 9 2 4 4 4" xfId="9928" xr:uid="{EED770FF-EF54-4D9B-9018-E95B3CCBD847}"/>
    <cellStyle name="Normal 9 2 4 4 5" xfId="18357" xr:uid="{4C4C4FE0-1A9D-4C88-B431-07B04126A3CA}"/>
    <cellStyle name="Normal 9 2 4 5" xfId="1821" xr:uid="{00000000-0005-0000-0000-0000781F0000}"/>
    <cellStyle name="Normal 9 2 4 5 2" xfId="4051" xr:uid="{00000000-0005-0000-0000-0000791F0000}"/>
    <cellStyle name="Normal 9 2 4 5 2 2" xfId="8275" xr:uid="{00000000-0005-0000-0000-00007A1F0000}"/>
    <cellStyle name="Normal 9 2 4 5 2 2 2" xfId="16704" xr:uid="{CA9B1986-1BF9-44A5-84CD-3D1F1016E3B1}"/>
    <cellStyle name="Normal 9 2 4 5 2 2 3" xfId="25132" xr:uid="{A5FF6ABA-2B71-4E8B-8AB6-2AE069D79867}"/>
    <cellStyle name="Normal 9 2 4 5 2 3" xfId="12486" xr:uid="{D03DA10B-9D9B-436E-8167-E67C7D82A409}"/>
    <cellStyle name="Normal 9 2 4 5 2 4" xfId="20915" xr:uid="{210C45DE-C978-4876-8D5D-B8B649ABBAC5}"/>
    <cellStyle name="Normal 9 2 4 5 3" xfId="6130" xr:uid="{00000000-0005-0000-0000-00007B1F0000}"/>
    <cellStyle name="Normal 9 2 4 5 3 2" xfId="14559" xr:uid="{9F669C73-1AF1-47D0-9EB1-6D967D6819B9}"/>
    <cellStyle name="Normal 9 2 4 5 3 3" xfId="22987" xr:uid="{19998406-E29C-478D-98C0-0F52CCFD2EBF}"/>
    <cellStyle name="Normal 9 2 4 5 4" xfId="10341" xr:uid="{A65A1130-D1D5-4E4A-AB79-03EECA873798}"/>
    <cellStyle name="Normal 9 2 4 5 5" xfId="18770" xr:uid="{DDB774ED-6F2A-46ED-AD1B-4B8414EB166D}"/>
    <cellStyle name="Normal 9 2 4 6" xfId="2235" xr:uid="{00000000-0005-0000-0000-00007C1F0000}"/>
    <cellStyle name="Normal 9 2 4 6 2" xfId="4464" xr:uid="{00000000-0005-0000-0000-00007D1F0000}"/>
    <cellStyle name="Normal 9 2 4 6 2 2" xfId="8688" xr:uid="{00000000-0005-0000-0000-00007E1F0000}"/>
    <cellStyle name="Normal 9 2 4 6 2 2 2" xfId="17117" xr:uid="{E4A497CB-EAC3-4342-99C2-EDADC8921FE5}"/>
    <cellStyle name="Normal 9 2 4 6 2 2 3" xfId="25545" xr:uid="{67A9EC78-0DD8-4D80-8436-741D45B5B308}"/>
    <cellStyle name="Normal 9 2 4 6 2 3" xfId="12899" xr:uid="{3C9F3073-1AD1-4086-9735-F8202395557D}"/>
    <cellStyle name="Normal 9 2 4 6 2 4" xfId="21328" xr:uid="{4B804CE5-D9B6-4214-BEFC-A33F4257BB2C}"/>
    <cellStyle name="Normal 9 2 4 6 3" xfId="6543" xr:uid="{00000000-0005-0000-0000-00007F1F0000}"/>
    <cellStyle name="Normal 9 2 4 6 3 2" xfId="14972" xr:uid="{7D9926F5-32A7-4DB3-B634-A150F4E6536A}"/>
    <cellStyle name="Normal 9 2 4 6 3 3" xfId="23400" xr:uid="{B5F100D1-C207-4A80-8249-322CEC2457F6}"/>
    <cellStyle name="Normal 9 2 4 6 4" xfId="10754" xr:uid="{9EC78D1F-D15D-4B85-AAEC-FD133D82D3FA}"/>
    <cellStyle name="Normal 9 2 4 6 5" xfId="19183" xr:uid="{07D28CCF-3CB6-4FBB-B308-B1714F13E6F1}"/>
    <cellStyle name="Normal 9 2 4 7" xfId="2671" xr:uid="{00000000-0005-0000-0000-0000801F0000}"/>
    <cellStyle name="Normal 9 2 4 7 2" xfId="6956" xr:uid="{00000000-0005-0000-0000-0000811F0000}"/>
    <cellStyle name="Normal 9 2 4 7 2 2" xfId="15385" xr:uid="{75B1EA57-DA1E-44A3-9DE3-81ACC3D8B42D}"/>
    <cellStyle name="Normal 9 2 4 7 2 3" xfId="23813" xr:uid="{1E730809-8070-4251-8B64-FC316DEA6965}"/>
    <cellStyle name="Normal 9 2 4 7 3" xfId="11167" xr:uid="{6096E40B-58DD-42C1-B96F-214B24093527}"/>
    <cellStyle name="Normal 9 2 4 7 4" xfId="19596" xr:uid="{DFCE6A98-FFED-4C92-B9E2-949F843F13A4}"/>
    <cellStyle name="Normal 9 2 4 8" xfId="4891" xr:uid="{00000000-0005-0000-0000-0000821F0000}"/>
    <cellStyle name="Normal 9 2 4 8 2" xfId="13320" xr:uid="{1C27D2A7-5AB3-463B-81EF-4156D389BC7C}"/>
    <cellStyle name="Normal 9 2 4 8 3" xfId="21748" xr:uid="{5D6B940E-0B8A-4DB2-B93F-1521ABEC7EDD}"/>
    <cellStyle name="Normal 9 2 4 9" xfId="9102" xr:uid="{174C211E-3275-468D-94BA-32518717E24D}"/>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80" xr:uid="{87863ACC-CB73-4A66-AE6F-6D5BD9BED50E}"/>
    <cellStyle name="Normal 9 2 5 2 2 2 3" xfId="24308" xr:uid="{039B7A2C-A838-4D47-9842-1324DCFA3E2F}"/>
    <cellStyle name="Normal 9 2 5 2 2 3" xfId="11662" xr:uid="{EF366AA0-D98C-4F6C-B06F-557DF93626FA}"/>
    <cellStyle name="Normal 9 2 5 2 2 4" xfId="20091" xr:uid="{215A1DD5-F112-4CB4-8779-79E25A1495A6}"/>
    <cellStyle name="Normal 9 2 5 2 3" xfId="5306" xr:uid="{00000000-0005-0000-0000-0000871F0000}"/>
    <cellStyle name="Normal 9 2 5 2 3 2" xfId="13735" xr:uid="{2EB5AA88-5AEC-4B94-A451-D302C5C09B59}"/>
    <cellStyle name="Normal 9 2 5 2 3 3" xfId="22163" xr:uid="{A6BF30AD-0324-4B58-811F-ED6D68B8D789}"/>
    <cellStyle name="Normal 9 2 5 2 4" xfId="9517" xr:uid="{6E6FB0E5-2CB3-4F78-926A-8CE5A21399AD}"/>
    <cellStyle name="Normal 9 2 5 2 5" xfId="17946" xr:uid="{C5337DCA-7C46-4DE2-B3AC-C4A9439AF081}"/>
    <cellStyle name="Normal 9 2 5 3" xfId="1410" xr:uid="{00000000-0005-0000-0000-0000881F0000}"/>
    <cellStyle name="Normal 9 2 5 3 2" xfId="3640" xr:uid="{00000000-0005-0000-0000-0000891F0000}"/>
    <cellStyle name="Normal 9 2 5 3 2 2" xfId="7864" xr:uid="{00000000-0005-0000-0000-00008A1F0000}"/>
    <cellStyle name="Normal 9 2 5 3 2 2 2" xfId="16293" xr:uid="{77653BB0-4A25-4640-8661-69003C965008}"/>
    <cellStyle name="Normal 9 2 5 3 2 2 3" xfId="24721" xr:uid="{FBFDD3BE-27FB-4E5F-9A98-8B05EA374DDD}"/>
    <cellStyle name="Normal 9 2 5 3 2 3" xfId="12075" xr:uid="{27598463-30C8-4F17-8199-6FE0B552082A}"/>
    <cellStyle name="Normal 9 2 5 3 2 4" xfId="20504" xr:uid="{919D824B-12BE-4FC2-A979-A79C10848FA5}"/>
    <cellStyle name="Normal 9 2 5 3 3" xfId="5719" xr:uid="{00000000-0005-0000-0000-00008B1F0000}"/>
    <cellStyle name="Normal 9 2 5 3 3 2" xfId="14148" xr:uid="{2BFDB9E9-687C-42D1-B878-2498047928E8}"/>
    <cellStyle name="Normal 9 2 5 3 3 3" xfId="22576" xr:uid="{543CF45A-D825-4C2C-BF84-BD8D68B2871F}"/>
    <cellStyle name="Normal 9 2 5 3 4" xfId="9930" xr:uid="{E2D2F5CB-830A-4330-BEDC-1AF7CF47F7A5}"/>
    <cellStyle name="Normal 9 2 5 3 5" xfId="18359" xr:uid="{30CC886E-2F99-488D-A0C9-298CF2AAEB2B}"/>
    <cellStyle name="Normal 9 2 5 4" xfId="1823" xr:uid="{00000000-0005-0000-0000-00008C1F0000}"/>
    <cellStyle name="Normal 9 2 5 4 2" xfId="4053" xr:uid="{00000000-0005-0000-0000-00008D1F0000}"/>
    <cellStyle name="Normal 9 2 5 4 2 2" xfId="8277" xr:uid="{00000000-0005-0000-0000-00008E1F0000}"/>
    <cellStyle name="Normal 9 2 5 4 2 2 2" xfId="16706" xr:uid="{4CF040E0-4BF1-4783-988F-43068792225B}"/>
    <cellStyle name="Normal 9 2 5 4 2 2 3" xfId="25134" xr:uid="{C97A600B-58A3-4EB3-99B1-A864257C58CF}"/>
    <cellStyle name="Normal 9 2 5 4 2 3" xfId="12488" xr:uid="{1C42DD68-FAF8-43C4-9E14-559D92A698E5}"/>
    <cellStyle name="Normal 9 2 5 4 2 4" xfId="20917" xr:uid="{5945C1D3-15BE-4113-BEB3-2F4D46F0A77F}"/>
    <cellStyle name="Normal 9 2 5 4 3" xfId="6132" xr:uid="{00000000-0005-0000-0000-00008F1F0000}"/>
    <cellStyle name="Normal 9 2 5 4 3 2" xfId="14561" xr:uid="{C17418FF-801B-4B31-A6E6-F686934C24E0}"/>
    <cellStyle name="Normal 9 2 5 4 3 3" xfId="22989" xr:uid="{8237125D-10FE-4C47-898F-823DF7AB3F8C}"/>
    <cellStyle name="Normal 9 2 5 4 4" xfId="10343" xr:uid="{E3B83D11-79CD-42B4-970B-E6211B421FE9}"/>
    <cellStyle name="Normal 9 2 5 4 5" xfId="18772" xr:uid="{B38721B5-BE86-495E-BDF3-B17B039A63E1}"/>
    <cellStyle name="Normal 9 2 5 5" xfId="2237" xr:uid="{00000000-0005-0000-0000-0000901F0000}"/>
    <cellStyle name="Normal 9 2 5 5 2" xfId="4466" xr:uid="{00000000-0005-0000-0000-0000911F0000}"/>
    <cellStyle name="Normal 9 2 5 5 2 2" xfId="8690" xr:uid="{00000000-0005-0000-0000-0000921F0000}"/>
    <cellStyle name="Normal 9 2 5 5 2 2 2" xfId="17119" xr:uid="{BFB959F1-C7AF-4FF3-B8DE-542BA7AF6743}"/>
    <cellStyle name="Normal 9 2 5 5 2 2 3" xfId="25547" xr:uid="{ADBF094D-4145-4B48-B099-B9D1D0C38119}"/>
    <cellStyle name="Normal 9 2 5 5 2 3" xfId="12901" xr:uid="{2E942DAB-D6E4-4FD0-B753-0E831C9FDCAB}"/>
    <cellStyle name="Normal 9 2 5 5 2 4" xfId="21330" xr:uid="{46FA35AA-0C4C-4AE2-AA35-58BD507CB1DA}"/>
    <cellStyle name="Normal 9 2 5 5 3" xfId="6545" xr:uid="{00000000-0005-0000-0000-0000931F0000}"/>
    <cellStyle name="Normal 9 2 5 5 3 2" xfId="14974" xr:uid="{7652C381-0A72-4EFC-9506-0B2827398CFD}"/>
    <cellStyle name="Normal 9 2 5 5 3 3" xfId="23402" xr:uid="{F311234F-FAE7-445E-8661-08BD11E3477C}"/>
    <cellStyle name="Normal 9 2 5 5 4" xfId="10756" xr:uid="{8697B044-FDD4-4C7A-B002-09281603DC52}"/>
    <cellStyle name="Normal 9 2 5 5 5" xfId="19185" xr:uid="{B1DFFC82-6232-4365-9D0D-59BF79D39C10}"/>
    <cellStyle name="Normal 9 2 5 6" xfId="2673" xr:uid="{00000000-0005-0000-0000-0000941F0000}"/>
    <cellStyle name="Normal 9 2 5 6 2" xfId="6958" xr:uid="{00000000-0005-0000-0000-0000951F0000}"/>
    <cellStyle name="Normal 9 2 5 6 2 2" xfId="15387" xr:uid="{227F842F-8454-4C18-B29B-85323278A3CD}"/>
    <cellStyle name="Normal 9 2 5 6 2 3" xfId="23815" xr:uid="{246B746E-6A5B-4C71-92B9-25818D382EBC}"/>
    <cellStyle name="Normal 9 2 5 6 3" xfId="11169" xr:uid="{C43AAA07-74D7-4604-ACD9-C48AB2821F31}"/>
    <cellStyle name="Normal 9 2 5 6 4" xfId="19598" xr:uid="{AA8942F2-D781-495F-AE50-1B293A555386}"/>
    <cellStyle name="Normal 9 2 5 7" xfId="4893" xr:uid="{00000000-0005-0000-0000-0000961F0000}"/>
    <cellStyle name="Normal 9 2 5 7 2" xfId="13322" xr:uid="{845F6F6F-E23A-4B23-9AD3-C56CA1886960}"/>
    <cellStyle name="Normal 9 2 5 7 3" xfId="21750" xr:uid="{CA3BBE40-49F2-44D8-83EC-522399FA626F}"/>
    <cellStyle name="Normal 9 2 5 8" xfId="9104" xr:uid="{B1184CC8-1707-4322-908C-FB0396D4C7C7}"/>
    <cellStyle name="Normal 9 2 5 9" xfId="17533" xr:uid="{3C240E4F-B289-4E34-8E43-C6A6281310E4}"/>
    <cellStyle name="Normal 9 2 6" xfId="979" xr:uid="{00000000-0005-0000-0000-0000971F0000}"/>
    <cellStyle name="Normal 9 2 6 2" xfId="3212" xr:uid="{00000000-0005-0000-0000-0000981F0000}"/>
    <cellStyle name="Normal 9 2 6 2 2" xfId="7436" xr:uid="{00000000-0005-0000-0000-0000991F0000}"/>
    <cellStyle name="Normal 9 2 6 2 2 2" xfId="15865" xr:uid="{1D7F51BA-6D04-4ED5-A099-62D2CDA673C9}"/>
    <cellStyle name="Normal 9 2 6 2 2 3" xfId="24293" xr:uid="{7499744D-5EFA-45ED-98BF-2F9847E67608}"/>
    <cellStyle name="Normal 9 2 6 2 3" xfId="11647" xr:uid="{4EC9D291-31B6-43C7-B706-3F697CDD4E0F}"/>
    <cellStyle name="Normal 9 2 6 2 4" xfId="20076" xr:uid="{887C2BCE-B1C9-4A0A-A833-05E5AC6C6DC9}"/>
    <cellStyle name="Normal 9 2 6 3" xfId="5291" xr:uid="{00000000-0005-0000-0000-00009A1F0000}"/>
    <cellStyle name="Normal 9 2 6 3 2" xfId="13720" xr:uid="{EB98A848-20CB-472B-A01E-2565A962DF3D}"/>
    <cellStyle name="Normal 9 2 6 3 3" xfId="22148" xr:uid="{F9342E9A-DB8E-4605-9D01-69A42A1294C7}"/>
    <cellStyle name="Normal 9 2 6 4" xfId="9502" xr:uid="{6830C9D7-6AE6-4A18-90CA-976D10FF74F1}"/>
    <cellStyle name="Normal 9 2 6 5" xfId="17931" xr:uid="{C67C7039-ECC6-4E1F-B324-4A15E4F395D1}"/>
    <cellStyle name="Normal 9 2 7" xfId="1395" xr:uid="{00000000-0005-0000-0000-00009B1F0000}"/>
    <cellStyle name="Normal 9 2 7 2" xfId="3625" xr:uid="{00000000-0005-0000-0000-00009C1F0000}"/>
    <cellStyle name="Normal 9 2 7 2 2" xfId="7849" xr:uid="{00000000-0005-0000-0000-00009D1F0000}"/>
    <cellStyle name="Normal 9 2 7 2 2 2" xfId="16278" xr:uid="{29B932A4-724C-486D-891D-E67506168CE3}"/>
    <cellStyle name="Normal 9 2 7 2 2 3" xfId="24706" xr:uid="{E1CD26C1-46DE-41EF-B5FE-B42AA3B8CCC5}"/>
    <cellStyle name="Normal 9 2 7 2 3" xfId="12060" xr:uid="{262AB9ED-84DD-4BE4-9634-95549D0B24D1}"/>
    <cellStyle name="Normal 9 2 7 2 4" xfId="20489" xr:uid="{A9FABE18-74FD-4235-888E-DEDF5E8430C7}"/>
    <cellStyle name="Normal 9 2 7 3" xfId="5704" xr:uid="{00000000-0005-0000-0000-00009E1F0000}"/>
    <cellStyle name="Normal 9 2 7 3 2" xfId="14133" xr:uid="{D13C2518-D724-4316-AB38-E65462F2316A}"/>
    <cellStyle name="Normal 9 2 7 3 3" xfId="22561" xr:uid="{AB23B3D4-8107-42BD-AC17-C1C9251F560E}"/>
    <cellStyle name="Normal 9 2 7 4" xfId="9915" xr:uid="{4382836C-2CDD-487A-BD2F-5C18454302FB}"/>
    <cellStyle name="Normal 9 2 7 5" xfId="18344" xr:uid="{3B8DBC19-046C-4242-9A1A-2DAFBFBE577E}"/>
    <cellStyle name="Normal 9 2 8" xfId="1808" xr:uid="{00000000-0005-0000-0000-00009F1F0000}"/>
    <cellStyle name="Normal 9 2 8 2" xfId="4038" xr:uid="{00000000-0005-0000-0000-0000A01F0000}"/>
    <cellStyle name="Normal 9 2 8 2 2" xfId="8262" xr:uid="{00000000-0005-0000-0000-0000A11F0000}"/>
    <cellStyle name="Normal 9 2 8 2 2 2" xfId="16691" xr:uid="{DD46E283-DCE1-43F6-8387-CC99C740D0B7}"/>
    <cellStyle name="Normal 9 2 8 2 2 3" xfId="25119" xr:uid="{AF274964-5846-4ACF-ADED-221C88198A01}"/>
    <cellStyle name="Normal 9 2 8 2 3" xfId="12473" xr:uid="{8D44EA1C-34A8-41E9-B818-347771865F56}"/>
    <cellStyle name="Normal 9 2 8 2 4" xfId="20902" xr:uid="{F87F977B-9571-46FA-B102-C6833F91B8F1}"/>
    <cellStyle name="Normal 9 2 8 3" xfId="6117" xr:uid="{00000000-0005-0000-0000-0000A21F0000}"/>
    <cellStyle name="Normal 9 2 8 3 2" xfId="14546" xr:uid="{84940677-0E90-4B0A-A433-BFC74F0CBDCD}"/>
    <cellStyle name="Normal 9 2 8 3 3" xfId="22974" xr:uid="{722533F7-AFFB-4A50-8B8D-7180DDE3BA3B}"/>
    <cellStyle name="Normal 9 2 8 4" xfId="10328" xr:uid="{11176E09-5C01-4132-B32E-5476497FFCC9}"/>
    <cellStyle name="Normal 9 2 8 5" xfId="18757" xr:uid="{5D0084C2-C228-4877-A1C6-7C48A424BBEB}"/>
    <cellStyle name="Normal 9 2 9" xfId="2222" xr:uid="{00000000-0005-0000-0000-0000A31F0000}"/>
    <cellStyle name="Normal 9 2 9 2" xfId="4451" xr:uid="{00000000-0005-0000-0000-0000A41F0000}"/>
    <cellStyle name="Normal 9 2 9 2 2" xfId="8675" xr:uid="{00000000-0005-0000-0000-0000A51F0000}"/>
    <cellStyle name="Normal 9 2 9 2 2 2" xfId="17104" xr:uid="{A3A9FFAC-D7E5-4292-8C26-FB65071ECDC1}"/>
    <cellStyle name="Normal 9 2 9 2 2 3" xfId="25532" xr:uid="{0C661CEE-77DC-4C54-BBFA-83E7D127931C}"/>
    <cellStyle name="Normal 9 2 9 2 3" xfId="12886" xr:uid="{09B85EC7-CE0C-4921-8F65-D9A25E5D2251}"/>
    <cellStyle name="Normal 9 2 9 2 4" xfId="21315" xr:uid="{6DE76BC7-1B0C-4C09-BEB9-D421AAD8B231}"/>
    <cellStyle name="Normal 9 2 9 3" xfId="6530" xr:uid="{00000000-0005-0000-0000-0000A61F0000}"/>
    <cellStyle name="Normal 9 2 9 3 2" xfId="14959" xr:uid="{D1FBF9BE-C5D4-4F48-881B-C37B09341285}"/>
    <cellStyle name="Normal 9 2 9 3 3" xfId="23387" xr:uid="{27096386-6D99-4BC8-9D3A-099D720E2D62}"/>
    <cellStyle name="Normal 9 2 9 4" xfId="10741" xr:uid="{E8DA0D90-0978-4C08-BDB5-F7A042C4FE3D}"/>
    <cellStyle name="Normal 9 2 9 5" xfId="19170" xr:uid="{63CE13CF-BD3E-4BEC-98E3-3B0D7E654887}"/>
    <cellStyle name="Normal 9 3" xfId="527" xr:uid="{00000000-0005-0000-0000-0000A71F0000}"/>
    <cellStyle name="Normal 9 3 10" xfId="4894" xr:uid="{00000000-0005-0000-0000-0000A81F0000}"/>
    <cellStyle name="Normal 9 3 10 2" xfId="13323" xr:uid="{BD272462-7C08-4CEF-94D2-B4593952DB92}"/>
    <cellStyle name="Normal 9 3 10 3" xfId="21751" xr:uid="{C9C717A6-DD74-45A5-A772-86E692754803}"/>
    <cellStyle name="Normal 9 3 11" xfId="9105" xr:uid="{9CF3CA80-4598-4C3C-B02A-2DC2AD386C9A}"/>
    <cellStyle name="Normal 9 3 12" xfId="17534" xr:uid="{83BEDD80-8F59-4408-8C29-346424AD84C7}"/>
    <cellStyle name="Normal 9 3 2" xfId="528" xr:uid="{00000000-0005-0000-0000-0000A91F0000}"/>
    <cellStyle name="Normal 9 3 2 10" xfId="9106" xr:uid="{D7773218-4438-4C27-8D94-2696EB40859B}"/>
    <cellStyle name="Normal 9 3 2 11" xfId="17535" xr:uid="{818A222A-66C2-497B-8BBA-8EE72741E2CE}"/>
    <cellStyle name="Normal 9 3 2 2" xfId="529" xr:uid="{00000000-0005-0000-0000-0000AA1F0000}"/>
    <cellStyle name="Normal 9 3 2 2 10" xfId="17536" xr:uid="{2A229DB3-F39B-4BE1-8F6F-E467BAE64FB8}"/>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84" xr:uid="{56A3E001-C682-457B-B98F-525B3FEBB133}"/>
    <cellStyle name="Normal 9 3 2 2 2 2 2 2 3" xfId="24312" xr:uid="{F5CC9406-83C3-41BF-8FC1-16EC807C4658}"/>
    <cellStyle name="Normal 9 3 2 2 2 2 2 3" xfId="11666" xr:uid="{A8F24F21-3168-4F2A-AC7F-475E5B9185C7}"/>
    <cellStyle name="Normal 9 3 2 2 2 2 2 4" xfId="20095" xr:uid="{8D2EEFD6-A46A-490C-80D5-E3556AFD39D7}"/>
    <cellStyle name="Normal 9 3 2 2 2 2 3" xfId="5310" xr:uid="{00000000-0005-0000-0000-0000AF1F0000}"/>
    <cellStyle name="Normal 9 3 2 2 2 2 3 2" xfId="13739" xr:uid="{1F3E1032-FB5A-4DD9-93DA-67F67EA54E67}"/>
    <cellStyle name="Normal 9 3 2 2 2 2 3 3" xfId="22167" xr:uid="{28866797-33CB-44FD-8383-9ADBB75DB43E}"/>
    <cellStyle name="Normal 9 3 2 2 2 2 4" xfId="9521" xr:uid="{50797F48-B005-4808-B72A-1A19EB53AB9C}"/>
    <cellStyle name="Normal 9 3 2 2 2 2 5" xfId="17950" xr:uid="{DC4A5046-7D39-4258-A78F-A2CEB2C93BF7}"/>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7" xr:uid="{6BFA75A1-5D6C-4D21-8023-E3F1F876FFEC}"/>
    <cellStyle name="Normal 9 3 2 2 2 3 2 2 3" xfId="24725" xr:uid="{A8A2D4CF-6B6B-4CFF-8820-0B3D98DB4C6E}"/>
    <cellStyle name="Normal 9 3 2 2 2 3 2 3" xfId="12079" xr:uid="{EF17A23C-F188-4A44-B7FA-DD9D444964D2}"/>
    <cellStyle name="Normal 9 3 2 2 2 3 2 4" xfId="20508" xr:uid="{BA39B79F-A6EA-4FB8-9FCC-BB2EDD355949}"/>
    <cellStyle name="Normal 9 3 2 2 2 3 3" xfId="5723" xr:uid="{00000000-0005-0000-0000-0000B31F0000}"/>
    <cellStyle name="Normal 9 3 2 2 2 3 3 2" xfId="14152" xr:uid="{7C95D04E-13D4-4BF1-AB15-A082729F7A76}"/>
    <cellStyle name="Normal 9 3 2 2 2 3 3 3" xfId="22580" xr:uid="{52ED9249-1715-49C7-90D7-31F5F10E5090}"/>
    <cellStyle name="Normal 9 3 2 2 2 3 4" xfId="9934" xr:uid="{57AF1DCB-5FFD-4B6E-99AC-11C9E529FBB7}"/>
    <cellStyle name="Normal 9 3 2 2 2 3 5" xfId="18363" xr:uid="{3CA69A2A-8C49-40AA-B84A-F81A51C07548}"/>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10" xr:uid="{24F9FF69-09EF-4383-87DE-DEF37C2259AC}"/>
    <cellStyle name="Normal 9 3 2 2 2 4 2 2 3" xfId="25138" xr:uid="{5E148A3B-77BD-484D-A415-0499ACCFAD59}"/>
    <cellStyle name="Normal 9 3 2 2 2 4 2 3" xfId="12492" xr:uid="{2F151240-3B7C-4BCE-8A03-473252BC9445}"/>
    <cellStyle name="Normal 9 3 2 2 2 4 2 4" xfId="20921" xr:uid="{3AE9C45B-84DC-41CC-8E4B-985F4FD1E041}"/>
    <cellStyle name="Normal 9 3 2 2 2 4 3" xfId="6136" xr:uid="{00000000-0005-0000-0000-0000B71F0000}"/>
    <cellStyle name="Normal 9 3 2 2 2 4 3 2" xfId="14565" xr:uid="{D8A69A00-A346-4DC5-9EF6-F8556CCC1A26}"/>
    <cellStyle name="Normal 9 3 2 2 2 4 3 3" xfId="22993" xr:uid="{AFD66774-2FDF-4CC7-8FAE-70494A3C1EE5}"/>
    <cellStyle name="Normal 9 3 2 2 2 4 4" xfId="10347" xr:uid="{EA174CFA-4F93-4F1A-A4E1-CE41799F79FB}"/>
    <cellStyle name="Normal 9 3 2 2 2 4 5" xfId="18776" xr:uid="{911A3B85-5951-42A4-BA9C-111191A75941}"/>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23" xr:uid="{B57B7BD4-F93E-44E1-80D2-FCFF448E8181}"/>
    <cellStyle name="Normal 9 3 2 2 2 5 2 2 3" xfId="25551" xr:uid="{9A28A1F5-F915-4B2D-A181-0051E0A05960}"/>
    <cellStyle name="Normal 9 3 2 2 2 5 2 3" xfId="12905" xr:uid="{8CFF188D-1F0D-4330-BC6A-473E65F5573A}"/>
    <cellStyle name="Normal 9 3 2 2 2 5 2 4" xfId="21334" xr:uid="{783FECB9-6B7C-4EF3-87C1-9982C8A74887}"/>
    <cellStyle name="Normal 9 3 2 2 2 5 3" xfId="6549" xr:uid="{00000000-0005-0000-0000-0000BB1F0000}"/>
    <cellStyle name="Normal 9 3 2 2 2 5 3 2" xfId="14978" xr:uid="{69DBB2D6-614D-4168-BEF1-B0AC5310C11D}"/>
    <cellStyle name="Normal 9 3 2 2 2 5 3 3" xfId="23406" xr:uid="{26BCCFBA-0482-4F06-836C-CE7A83D7179D}"/>
    <cellStyle name="Normal 9 3 2 2 2 5 4" xfId="10760" xr:uid="{1523AAF5-D118-4E27-AFD8-D867302F84BF}"/>
    <cellStyle name="Normal 9 3 2 2 2 5 5" xfId="19189" xr:uid="{B9836ED2-18CC-4761-9CD7-DDA81AD7E6B1}"/>
    <cellStyle name="Normal 9 3 2 2 2 6" xfId="2677" xr:uid="{00000000-0005-0000-0000-0000BC1F0000}"/>
    <cellStyle name="Normal 9 3 2 2 2 6 2" xfId="6962" xr:uid="{00000000-0005-0000-0000-0000BD1F0000}"/>
    <cellStyle name="Normal 9 3 2 2 2 6 2 2" xfId="15391" xr:uid="{B87325E6-FEA5-42BA-B2A3-8D6013049D30}"/>
    <cellStyle name="Normal 9 3 2 2 2 6 2 3" xfId="23819" xr:uid="{3ABA2E65-D2C2-4318-B3CF-FE809F88B98F}"/>
    <cellStyle name="Normal 9 3 2 2 2 6 3" xfId="11173" xr:uid="{F130792B-B905-4344-A765-99C380586E4F}"/>
    <cellStyle name="Normal 9 3 2 2 2 6 4" xfId="19602" xr:uid="{801356DE-3DA4-4190-8BCD-DD2C2883D7AE}"/>
    <cellStyle name="Normal 9 3 2 2 2 7" xfId="4897" xr:uid="{00000000-0005-0000-0000-0000BE1F0000}"/>
    <cellStyle name="Normal 9 3 2 2 2 7 2" xfId="13326" xr:uid="{2FD98D67-381D-40E8-BE47-1D50F3C87B1F}"/>
    <cellStyle name="Normal 9 3 2 2 2 7 3" xfId="21754" xr:uid="{C73F1E4D-283A-4C2E-AAD6-FB6A945253A2}"/>
    <cellStyle name="Normal 9 3 2 2 2 8" xfId="9108" xr:uid="{1A9CC503-5D09-4B60-8100-1E50E53CC64F}"/>
    <cellStyle name="Normal 9 3 2 2 2 9" xfId="17537" xr:uid="{E61016EB-3C80-46B0-9CF7-5C93C7832896}"/>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83" xr:uid="{F0B2A36A-9596-4C13-A94E-47D320F44643}"/>
    <cellStyle name="Normal 9 3 2 2 3 2 2 3" xfId="24311" xr:uid="{7D35A43B-F6B7-4796-9659-1177417282EB}"/>
    <cellStyle name="Normal 9 3 2 2 3 2 3" xfId="11665" xr:uid="{AB3063FE-20E1-471E-B33E-786E93652C31}"/>
    <cellStyle name="Normal 9 3 2 2 3 2 4" xfId="20094" xr:uid="{36A91EEC-CB5D-46AC-BEB0-A94C988B14BF}"/>
    <cellStyle name="Normal 9 3 2 2 3 3" xfId="5309" xr:uid="{00000000-0005-0000-0000-0000C21F0000}"/>
    <cellStyle name="Normal 9 3 2 2 3 3 2" xfId="13738" xr:uid="{465EC79C-5BA7-4875-A09F-8E1277F87E5B}"/>
    <cellStyle name="Normal 9 3 2 2 3 3 3" xfId="22166" xr:uid="{6514AE5E-2171-43A1-BD78-2CAD0C44C86A}"/>
    <cellStyle name="Normal 9 3 2 2 3 4" xfId="9520" xr:uid="{440343CE-6971-438A-B61F-E4034E2EE532}"/>
    <cellStyle name="Normal 9 3 2 2 3 5" xfId="17949" xr:uid="{579AAE94-415B-4A7E-9626-C85FE8998575}"/>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96" xr:uid="{BC2CEC40-27C6-44E4-B239-AD10B41E2124}"/>
    <cellStyle name="Normal 9 3 2 2 4 2 2 3" xfId="24724" xr:uid="{DAA1F328-E15C-47EF-A96F-AB64AFFE7AB4}"/>
    <cellStyle name="Normal 9 3 2 2 4 2 3" xfId="12078" xr:uid="{70C990EB-A293-433F-BFBB-FC32EB89F9DB}"/>
    <cellStyle name="Normal 9 3 2 2 4 2 4" xfId="20507" xr:uid="{37960EA7-FF98-4209-AEFA-EE3E250E1080}"/>
    <cellStyle name="Normal 9 3 2 2 4 3" xfId="5722" xr:uid="{00000000-0005-0000-0000-0000C61F0000}"/>
    <cellStyle name="Normal 9 3 2 2 4 3 2" xfId="14151" xr:uid="{1EC4C49C-7422-4F6F-B172-2B92984A8B1B}"/>
    <cellStyle name="Normal 9 3 2 2 4 3 3" xfId="22579" xr:uid="{27E23742-BA6A-4FC4-93F5-159E0BA7A95E}"/>
    <cellStyle name="Normal 9 3 2 2 4 4" xfId="9933" xr:uid="{9C8BB59B-E1D4-4537-827C-1A97FF82CE0A}"/>
    <cellStyle name="Normal 9 3 2 2 4 5" xfId="18362" xr:uid="{7A19B9B8-2EDF-466F-A495-8ED554ED864C}"/>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9" xr:uid="{B69A10C7-1BE9-4956-9E82-68EA4A8F6727}"/>
    <cellStyle name="Normal 9 3 2 2 5 2 2 3" xfId="25137" xr:uid="{3B837EFF-B58A-4CF6-AEE2-20DE0DF26B96}"/>
    <cellStyle name="Normal 9 3 2 2 5 2 3" xfId="12491" xr:uid="{55D734CF-63F0-4857-B834-D5F2F19BE4E8}"/>
    <cellStyle name="Normal 9 3 2 2 5 2 4" xfId="20920" xr:uid="{71EB4CEF-E540-4C38-99A0-0EDDA46511D3}"/>
    <cellStyle name="Normal 9 3 2 2 5 3" xfId="6135" xr:uid="{00000000-0005-0000-0000-0000CA1F0000}"/>
    <cellStyle name="Normal 9 3 2 2 5 3 2" xfId="14564" xr:uid="{65019722-53D0-4762-B8FE-BED0046F486F}"/>
    <cellStyle name="Normal 9 3 2 2 5 3 3" xfId="22992" xr:uid="{6DE4C0BD-DB08-42C6-AA2D-50A29AF24BB3}"/>
    <cellStyle name="Normal 9 3 2 2 5 4" xfId="10346" xr:uid="{0DA4E234-8C93-41F3-92BB-C73102DF8C49}"/>
    <cellStyle name="Normal 9 3 2 2 5 5" xfId="18775" xr:uid="{80599F41-F6D5-4C02-8854-3F92244152D7}"/>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22" xr:uid="{7C12E9D9-49CD-41A6-AE1D-698469CD71B8}"/>
    <cellStyle name="Normal 9 3 2 2 6 2 2 3" xfId="25550" xr:uid="{8C677BC7-A97D-415F-9D1F-204F8B7AA919}"/>
    <cellStyle name="Normal 9 3 2 2 6 2 3" xfId="12904" xr:uid="{DD3FC223-8A19-42E8-B816-A93951908666}"/>
    <cellStyle name="Normal 9 3 2 2 6 2 4" xfId="21333" xr:uid="{8033E9F3-1B6C-4CCD-9AD9-2EDA86ED8EA6}"/>
    <cellStyle name="Normal 9 3 2 2 6 3" xfId="6548" xr:uid="{00000000-0005-0000-0000-0000CE1F0000}"/>
    <cellStyle name="Normal 9 3 2 2 6 3 2" xfId="14977" xr:uid="{589930C4-68DA-4EB8-806F-2DD863377539}"/>
    <cellStyle name="Normal 9 3 2 2 6 3 3" xfId="23405" xr:uid="{ED07B268-F652-446B-8F9C-C0D122052962}"/>
    <cellStyle name="Normal 9 3 2 2 6 4" xfId="10759" xr:uid="{2A2B255C-D44F-47F9-BEA0-214BC283A53C}"/>
    <cellStyle name="Normal 9 3 2 2 6 5" xfId="19188" xr:uid="{BF166BFF-13ED-4407-9450-C4CDF4D21869}"/>
    <cellStyle name="Normal 9 3 2 2 7" xfId="2676" xr:uid="{00000000-0005-0000-0000-0000CF1F0000}"/>
    <cellStyle name="Normal 9 3 2 2 7 2" xfId="6961" xr:uid="{00000000-0005-0000-0000-0000D01F0000}"/>
    <cellStyle name="Normal 9 3 2 2 7 2 2" xfId="15390" xr:uid="{99313083-D4B2-4AC4-8026-0FF5669930A1}"/>
    <cellStyle name="Normal 9 3 2 2 7 2 3" xfId="23818" xr:uid="{11D5A69C-F68A-4DCD-9250-7997C9126C4A}"/>
    <cellStyle name="Normal 9 3 2 2 7 3" xfId="11172" xr:uid="{43A60F05-C578-493B-A5B8-C09E12BAE80C}"/>
    <cellStyle name="Normal 9 3 2 2 7 4" xfId="19601" xr:uid="{F1D60F88-4C8B-401A-99D8-2807730365B4}"/>
    <cellStyle name="Normal 9 3 2 2 8" xfId="4896" xr:uid="{00000000-0005-0000-0000-0000D11F0000}"/>
    <cellStyle name="Normal 9 3 2 2 8 2" xfId="13325" xr:uid="{3FED7BF6-89E0-4099-9244-5113EF3E53CA}"/>
    <cellStyle name="Normal 9 3 2 2 8 3" xfId="21753" xr:uid="{1586A605-9610-4F6A-9ABC-C5DE6885587E}"/>
    <cellStyle name="Normal 9 3 2 2 9" xfId="9107" xr:uid="{1D6BC1DB-6134-45DD-AF5A-D005E1852DEC}"/>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85" xr:uid="{93D3C5E5-66B4-4A26-91A8-7E57D8A9B2F4}"/>
    <cellStyle name="Normal 9 3 2 3 2 2 2 3" xfId="24313" xr:uid="{4221910A-D511-4754-ACBC-321F49796A4B}"/>
    <cellStyle name="Normal 9 3 2 3 2 2 3" xfId="11667" xr:uid="{42996C85-D6DF-46FE-B93A-5F483EF1031C}"/>
    <cellStyle name="Normal 9 3 2 3 2 2 4" xfId="20096" xr:uid="{26E387C5-AA3B-4131-A30A-AB9F75B1706E}"/>
    <cellStyle name="Normal 9 3 2 3 2 3" xfId="5311" xr:uid="{00000000-0005-0000-0000-0000D61F0000}"/>
    <cellStyle name="Normal 9 3 2 3 2 3 2" xfId="13740" xr:uid="{4C045AC7-EFE5-464C-828D-907E7C2A6FD7}"/>
    <cellStyle name="Normal 9 3 2 3 2 3 3" xfId="22168" xr:uid="{D706DE2F-0BA5-47F5-860A-1565A01B5CDC}"/>
    <cellStyle name="Normal 9 3 2 3 2 4" xfId="9522" xr:uid="{B4D41FEB-09E6-4383-B6DA-C034B9912C34}"/>
    <cellStyle name="Normal 9 3 2 3 2 5" xfId="17951" xr:uid="{CAF60930-4F10-4B13-A805-2FC32EB78570}"/>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8" xr:uid="{00553FDE-96FA-4363-A151-531752A28CC1}"/>
    <cellStyle name="Normal 9 3 2 3 3 2 2 3" xfId="24726" xr:uid="{8713CBE8-EC6B-4F19-92F7-B0C3A47E8E13}"/>
    <cellStyle name="Normal 9 3 2 3 3 2 3" xfId="12080" xr:uid="{2E1E92B4-D498-48E8-A925-DC88A6B20379}"/>
    <cellStyle name="Normal 9 3 2 3 3 2 4" xfId="20509" xr:uid="{260F52F8-D9FD-496A-BC8D-3BB4157E59F3}"/>
    <cellStyle name="Normal 9 3 2 3 3 3" xfId="5724" xr:uid="{00000000-0005-0000-0000-0000DA1F0000}"/>
    <cellStyle name="Normal 9 3 2 3 3 3 2" xfId="14153" xr:uid="{147CF7F9-4435-477F-ADF5-650572ACF735}"/>
    <cellStyle name="Normal 9 3 2 3 3 3 3" xfId="22581" xr:uid="{93F13B8D-AEBA-4825-A1E4-57CF1AC65E29}"/>
    <cellStyle name="Normal 9 3 2 3 3 4" xfId="9935" xr:uid="{C7F28E67-FA87-4C35-9E98-2C4534D5CD4C}"/>
    <cellStyle name="Normal 9 3 2 3 3 5" xfId="18364" xr:uid="{70A7F687-D2CD-4EB5-8933-6DCCA1831EEA}"/>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11" xr:uid="{18EC606D-9290-4FDF-A0D0-1777E9471B67}"/>
    <cellStyle name="Normal 9 3 2 3 4 2 2 3" xfId="25139" xr:uid="{BA1CF3A2-5AB7-419E-B217-C95C527E6A1C}"/>
    <cellStyle name="Normal 9 3 2 3 4 2 3" xfId="12493" xr:uid="{905BA91A-42E9-4582-AC52-7AD1BDEE02B3}"/>
    <cellStyle name="Normal 9 3 2 3 4 2 4" xfId="20922" xr:uid="{4D4E4737-4684-445D-B0FE-A5BAB8FBD02A}"/>
    <cellStyle name="Normal 9 3 2 3 4 3" xfId="6137" xr:uid="{00000000-0005-0000-0000-0000DE1F0000}"/>
    <cellStyle name="Normal 9 3 2 3 4 3 2" xfId="14566" xr:uid="{E39355A7-BAF8-4266-87D7-10A80477631B}"/>
    <cellStyle name="Normal 9 3 2 3 4 3 3" xfId="22994" xr:uid="{81409439-66E8-4352-BAAB-AA7B18A68110}"/>
    <cellStyle name="Normal 9 3 2 3 4 4" xfId="10348" xr:uid="{6B2B2041-E6AD-4851-A89E-994A1DD54097}"/>
    <cellStyle name="Normal 9 3 2 3 4 5" xfId="18777" xr:uid="{73BC7ACB-3864-4ABC-9DAA-6AF10E1A94FE}"/>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24" xr:uid="{C72E47E5-CF04-426E-805B-EFA66521F501}"/>
    <cellStyle name="Normal 9 3 2 3 5 2 2 3" xfId="25552" xr:uid="{68315553-AF45-417E-8B53-315B421E1B93}"/>
    <cellStyle name="Normal 9 3 2 3 5 2 3" xfId="12906" xr:uid="{68A264E8-4828-4A0B-AA7E-536D527DA497}"/>
    <cellStyle name="Normal 9 3 2 3 5 2 4" xfId="21335" xr:uid="{8E35597F-1F36-441E-A7AA-E85B9FCA44DE}"/>
    <cellStyle name="Normal 9 3 2 3 5 3" xfId="6550" xr:uid="{00000000-0005-0000-0000-0000E21F0000}"/>
    <cellStyle name="Normal 9 3 2 3 5 3 2" xfId="14979" xr:uid="{E85173FC-2606-42A0-922E-07D4711807D3}"/>
    <cellStyle name="Normal 9 3 2 3 5 3 3" xfId="23407" xr:uid="{8995FD5C-8445-45ED-9732-9798E89102D0}"/>
    <cellStyle name="Normal 9 3 2 3 5 4" xfId="10761" xr:uid="{6D1C922C-643B-4B7C-901A-B3B47011BB39}"/>
    <cellStyle name="Normal 9 3 2 3 5 5" xfId="19190" xr:uid="{9FA81222-76C8-4391-821F-4C5D4FB3656A}"/>
    <cellStyle name="Normal 9 3 2 3 6" xfId="2678" xr:uid="{00000000-0005-0000-0000-0000E31F0000}"/>
    <cellStyle name="Normal 9 3 2 3 6 2" xfId="6963" xr:uid="{00000000-0005-0000-0000-0000E41F0000}"/>
    <cellStyle name="Normal 9 3 2 3 6 2 2" xfId="15392" xr:uid="{468A61AE-F114-44B9-B04E-6C6F9416A5D4}"/>
    <cellStyle name="Normal 9 3 2 3 6 2 3" xfId="23820" xr:uid="{117D5B95-D979-4124-9AE9-63641088A1D2}"/>
    <cellStyle name="Normal 9 3 2 3 6 3" xfId="11174" xr:uid="{42F17917-5812-404D-89A7-BA87876EB22A}"/>
    <cellStyle name="Normal 9 3 2 3 6 4" xfId="19603" xr:uid="{1449D279-5A84-4780-ADF0-2C3A0B162A70}"/>
    <cellStyle name="Normal 9 3 2 3 7" xfId="4898" xr:uid="{00000000-0005-0000-0000-0000E51F0000}"/>
    <cellStyle name="Normal 9 3 2 3 7 2" xfId="13327" xr:uid="{3E534CD9-7509-4156-AF41-55892A88CDF2}"/>
    <cellStyle name="Normal 9 3 2 3 7 3" xfId="21755" xr:uid="{F9C06BB6-2E62-483D-87EB-95F42FE39245}"/>
    <cellStyle name="Normal 9 3 2 3 8" xfId="9109" xr:uid="{5FA16B70-C2DB-47BC-8812-9B98AED7B06D}"/>
    <cellStyle name="Normal 9 3 2 3 9" xfId="17538" xr:uid="{8303DB48-2136-45EE-BD98-859AC8B8D96A}"/>
    <cellStyle name="Normal 9 3 2 4" xfId="996" xr:uid="{00000000-0005-0000-0000-0000E61F0000}"/>
    <cellStyle name="Normal 9 3 2 4 2" xfId="3229" xr:uid="{00000000-0005-0000-0000-0000E71F0000}"/>
    <cellStyle name="Normal 9 3 2 4 2 2" xfId="7453" xr:uid="{00000000-0005-0000-0000-0000E81F0000}"/>
    <cellStyle name="Normal 9 3 2 4 2 2 2" xfId="15882" xr:uid="{2DAA37BA-936D-4A2A-B0C7-7ED717D378EF}"/>
    <cellStyle name="Normal 9 3 2 4 2 2 3" xfId="24310" xr:uid="{96D2B564-2698-42F0-9D83-86079E98C9A8}"/>
    <cellStyle name="Normal 9 3 2 4 2 3" xfId="11664" xr:uid="{9EE5B85F-5ED8-410C-ABA5-6E9E5015A182}"/>
    <cellStyle name="Normal 9 3 2 4 2 4" xfId="20093" xr:uid="{84CBB9BB-21CF-4338-94CD-7F4C5ED71F02}"/>
    <cellStyle name="Normal 9 3 2 4 3" xfId="5308" xr:uid="{00000000-0005-0000-0000-0000E91F0000}"/>
    <cellStyle name="Normal 9 3 2 4 3 2" xfId="13737" xr:uid="{4098467D-35DE-4249-B323-CB1F0FA32FC0}"/>
    <cellStyle name="Normal 9 3 2 4 3 3" xfId="22165" xr:uid="{58501B64-2A68-4DC1-9EB2-A818DA0305FC}"/>
    <cellStyle name="Normal 9 3 2 4 4" xfId="9519" xr:uid="{34AC7BBB-666A-42FE-BA5D-1D8D6619D2D7}"/>
    <cellStyle name="Normal 9 3 2 4 5" xfId="17948" xr:uid="{130DA951-DACE-40AC-850B-9AA8D6DDA3F5}"/>
    <cellStyle name="Normal 9 3 2 5" xfId="1412" xr:uid="{00000000-0005-0000-0000-0000EA1F0000}"/>
    <cellStyle name="Normal 9 3 2 5 2" xfId="3642" xr:uid="{00000000-0005-0000-0000-0000EB1F0000}"/>
    <cellStyle name="Normal 9 3 2 5 2 2" xfId="7866" xr:uid="{00000000-0005-0000-0000-0000EC1F0000}"/>
    <cellStyle name="Normal 9 3 2 5 2 2 2" xfId="16295" xr:uid="{7082EDB0-0D82-4FBA-84B1-53ABFE3E5155}"/>
    <cellStyle name="Normal 9 3 2 5 2 2 3" xfId="24723" xr:uid="{88CC1671-9407-4DDC-AD2F-D623A89A6AB3}"/>
    <cellStyle name="Normal 9 3 2 5 2 3" xfId="12077" xr:uid="{E4E63355-4509-4DE6-AE76-5384E8065AAB}"/>
    <cellStyle name="Normal 9 3 2 5 2 4" xfId="20506" xr:uid="{548B8900-C934-4BB2-815B-795A8B2B7729}"/>
    <cellStyle name="Normal 9 3 2 5 3" xfId="5721" xr:uid="{00000000-0005-0000-0000-0000ED1F0000}"/>
    <cellStyle name="Normal 9 3 2 5 3 2" xfId="14150" xr:uid="{37443BD0-2CA1-4302-B42D-BC09AC2044BE}"/>
    <cellStyle name="Normal 9 3 2 5 3 3" xfId="22578" xr:uid="{C3D588B2-2B43-4567-99AE-17D74A65E42F}"/>
    <cellStyle name="Normal 9 3 2 5 4" xfId="9932" xr:uid="{37BFB360-812C-41B5-A9E9-EF8ED23C664E}"/>
    <cellStyle name="Normal 9 3 2 5 5" xfId="18361" xr:uid="{F53E5ECC-C4D4-49A1-B1D0-75BFB176A950}"/>
    <cellStyle name="Normal 9 3 2 6" xfId="1825" xr:uid="{00000000-0005-0000-0000-0000EE1F0000}"/>
    <cellStyle name="Normal 9 3 2 6 2" xfId="4055" xr:uid="{00000000-0005-0000-0000-0000EF1F0000}"/>
    <cellStyle name="Normal 9 3 2 6 2 2" xfId="8279" xr:uid="{00000000-0005-0000-0000-0000F01F0000}"/>
    <cellStyle name="Normal 9 3 2 6 2 2 2" xfId="16708" xr:uid="{3C7A3DA0-FA69-41D4-8BCC-41BE8E357782}"/>
    <cellStyle name="Normal 9 3 2 6 2 2 3" xfId="25136" xr:uid="{615B3E4B-1E80-4876-8E60-F224F94CC0A7}"/>
    <cellStyle name="Normal 9 3 2 6 2 3" xfId="12490" xr:uid="{957E8F70-281B-421C-B4C4-24C33149FEF1}"/>
    <cellStyle name="Normal 9 3 2 6 2 4" xfId="20919" xr:uid="{9CB52EDF-767B-43E8-B28E-5010C2F0098E}"/>
    <cellStyle name="Normal 9 3 2 6 3" xfId="6134" xr:uid="{00000000-0005-0000-0000-0000F11F0000}"/>
    <cellStyle name="Normal 9 3 2 6 3 2" xfId="14563" xr:uid="{E04C371C-5AA6-4F8F-82E0-BF0469BF9B5A}"/>
    <cellStyle name="Normal 9 3 2 6 3 3" xfId="22991" xr:uid="{1681EDDA-3C97-4312-AC21-62EEF2AB972E}"/>
    <cellStyle name="Normal 9 3 2 6 4" xfId="10345" xr:uid="{6FAE856B-8183-4DA3-816A-4E8098A913D7}"/>
    <cellStyle name="Normal 9 3 2 6 5" xfId="18774" xr:uid="{61BF9184-E8D6-470A-B7B8-8BEBDF2331ED}"/>
    <cellStyle name="Normal 9 3 2 7" xfId="2239" xr:uid="{00000000-0005-0000-0000-0000F21F0000}"/>
    <cellStyle name="Normal 9 3 2 7 2" xfId="4468" xr:uid="{00000000-0005-0000-0000-0000F31F0000}"/>
    <cellStyle name="Normal 9 3 2 7 2 2" xfId="8692" xr:uid="{00000000-0005-0000-0000-0000F41F0000}"/>
    <cellStyle name="Normal 9 3 2 7 2 2 2" xfId="17121" xr:uid="{B46286F0-2936-433E-A4A9-50F6678E528F}"/>
    <cellStyle name="Normal 9 3 2 7 2 2 3" xfId="25549" xr:uid="{16CA4939-D76F-4A76-BCBD-A33E1B2E4BA2}"/>
    <cellStyle name="Normal 9 3 2 7 2 3" xfId="12903" xr:uid="{794F61CC-EA3B-47A8-8B0D-E78D90278837}"/>
    <cellStyle name="Normal 9 3 2 7 2 4" xfId="21332" xr:uid="{5310DA10-1D07-4A43-A3A1-2A3159AEB316}"/>
    <cellStyle name="Normal 9 3 2 7 3" xfId="6547" xr:uid="{00000000-0005-0000-0000-0000F51F0000}"/>
    <cellStyle name="Normal 9 3 2 7 3 2" xfId="14976" xr:uid="{E38D7625-3D2B-4A1F-86D2-F331F2EE8413}"/>
    <cellStyle name="Normal 9 3 2 7 3 3" xfId="23404" xr:uid="{0EF1BBD9-E0DB-428E-8A74-531F508A3B11}"/>
    <cellStyle name="Normal 9 3 2 7 4" xfId="10758" xr:uid="{ABD9EBAA-A590-4E2D-B81F-C2E7DD5B4FC1}"/>
    <cellStyle name="Normal 9 3 2 7 5" xfId="19187" xr:uid="{A1B5FDF2-6934-432D-9019-304110CF4351}"/>
    <cellStyle name="Normal 9 3 2 8" xfId="2675" xr:uid="{00000000-0005-0000-0000-0000F61F0000}"/>
    <cellStyle name="Normal 9 3 2 8 2" xfId="6960" xr:uid="{00000000-0005-0000-0000-0000F71F0000}"/>
    <cellStyle name="Normal 9 3 2 8 2 2" xfId="15389" xr:uid="{B5D507A9-0937-44C1-A008-A1D36F433466}"/>
    <cellStyle name="Normal 9 3 2 8 2 3" xfId="23817" xr:uid="{2575C50E-1EA0-4452-B60E-2E2F5DEAECEB}"/>
    <cellStyle name="Normal 9 3 2 8 3" xfId="11171" xr:uid="{27B12302-F91D-4893-B606-E2FBB8783158}"/>
    <cellStyle name="Normal 9 3 2 8 4" xfId="19600" xr:uid="{CF945A7A-5AAA-4981-997D-4B809B8F7B47}"/>
    <cellStyle name="Normal 9 3 2 9" xfId="4895" xr:uid="{00000000-0005-0000-0000-0000F81F0000}"/>
    <cellStyle name="Normal 9 3 2 9 2" xfId="13324" xr:uid="{14ACCF2A-5683-4F0B-995D-6AF2998F2D47}"/>
    <cellStyle name="Normal 9 3 2 9 3" xfId="21752" xr:uid="{B5330ABA-9A1D-4111-8457-D83198B41A78}"/>
    <cellStyle name="Normal 9 3 3" xfId="532" xr:uid="{00000000-0005-0000-0000-0000F91F0000}"/>
    <cellStyle name="Normal 9 3 3 10" xfId="17539" xr:uid="{F79D27D7-68BC-4DFB-816D-140071395624}"/>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7" xr:uid="{DBDBE7F7-8AFC-4589-8784-95344F5C6874}"/>
    <cellStyle name="Normal 9 3 3 2 2 2 2 3" xfId="24315" xr:uid="{818F915D-1B68-4290-A01F-6B4DB9722B97}"/>
    <cellStyle name="Normal 9 3 3 2 2 2 3" xfId="11669" xr:uid="{FB3D99B9-C933-4D06-A2CF-0444184FFBE6}"/>
    <cellStyle name="Normal 9 3 3 2 2 2 4" xfId="20098" xr:uid="{AB898874-1BFE-4FCE-B711-C16485114F42}"/>
    <cellStyle name="Normal 9 3 3 2 2 3" xfId="5313" xr:uid="{00000000-0005-0000-0000-0000FE1F0000}"/>
    <cellStyle name="Normal 9 3 3 2 2 3 2" xfId="13742" xr:uid="{0029106A-A82D-4F89-9AB5-E84CA833890F}"/>
    <cellStyle name="Normal 9 3 3 2 2 3 3" xfId="22170" xr:uid="{11ADFFC2-15BB-4319-AA36-FE16B0458FDB}"/>
    <cellStyle name="Normal 9 3 3 2 2 4" xfId="9524" xr:uid="{5E4DF83A-E9DF-4CFB-B3D0-A05D6D80C36C}"/>
    <cellStyle name="Normal 9 3 3 2 2 5" xfId="17953" xr:uid="{3A46D862-D90C-4031-A438-AAED0F41771F}"/>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300" xr:uid="{30983052-D107-4932-BD51-7AFA85936ED9}"/>
    <cellStyle name="Normal 9 3 3 2 3 2 2 3" xfId="24728" xr:uid="{10F46C3C-B62A-4912-8DF1-BF9EF807986C}"/>
    <cellStyle name="Normal 9 3 3 2 3 2 3" xfId="12082" xr:uid="{20A25719-F660-4A56-A2DF-5510A3EBE9CD}"/>
    <cellStyle name="Normal 9 3 3 2 3 2 4" xfId="20511" xr:uid="{7CAE97C7-A7EA-4543-91FF-EBA06DADC38F}"/>
    <cellStyle name="Normal 9 3 3 2 3 3" xfId="5726" xr:uid="{00000000-0005-0000-0000-000002200000}"/>
    <cellStyle name="Normal 9 3 3 2 3 3 2" xfId="14155" xr:uid="{CA28B628-6A58-4023-B58D-D4F633434E63}"/>
    <cellStyle name="Normal 9 3 3 2 3 3 3" xfId="22583" xr:uid="{037FD23D-A7CA-49D4-B11B-473F7C7BB567}"/>
    <cellStyle name="Normal 9 3 3 2 3 4" xfId="9937" xr:uid="{7CE39A6C-8664-45EE-9C17-04DC5C48089B}"/>
    <cellStyle name="Normal 9 3 3 2 3 5" xfId="18366" xr:uid="{4465E7C2-06B5-4695-A7FD-22D68F7E12FB}"/>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13" xr:uid="{FD0EABB3-F32A-43F0-96A9-F64FB8CC6F8E}"/>
    <cellStyle name="Normal 9 3 3 2 4 2 2 3" xfId="25141" xr:uid="{934154D1-3D84-49A1-9CAF-F45B28295C75}"/>
    <cellStyle name="Normal 9 3 3 2 4 2 3" xfId="12495" xr:uid="{3E366E76-0777-4D0D-BF07-ADDA268BC978}"/>
    <cellStyle name="Normal 9 3 3 2 4 2 4" xfId="20924" xr:uid="{D36F7BBA-B8A6-4117-8E2E-048B42AFC16E}"/>
    <cellStyle name="Normal 9 3 3 2 4 3" xfId="6139" xr:uid="{00000000-0005-0000-0000-000006200000}"/>
    <cellStyle name="Normal 9 3 3 2 4 3 2" xfId="14568" xr:uid="{87D5929E-E627-470A-B0F0-41707BDF9F3D}"/>
    <cellStyle name="Normal 9 3 3 2 4 3 3" xfId="22996" xr:uid="{6D3FD9EC-3056-4E19-A58D-DF5B8798B947}"/>
    <cellStyle name="Normal 9 3 3 2 4 4" xfId="10350" xr:uid="{A60FDF9E-4678-4109-B4CC-EA54FB81E4FA}"/>
    <cellStyle name="Normal 9 3 3 2 4 5" xfId="18779" xr:uid="{8BAAB9C2-D979-4629-9B4E-D4351E5418CC}"/>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26" xr:uid="{42892534-637B-4574-9848-1C1B9A0CD398}"/>
    <cellStyle name="Normal 9 3 3 2 5 2 2 3" xfId="25554" xr:uid="{C06956AD-5480-4E85-8F1E-ED396AF13222}"/>
    <cellStyle name="Normal 9 3 3 2 5 2 3" xfId="12908" xr:uid="{635885C1-8CCC-453D-B061-30E98A3BA7CE}"/>
    <cellStyle name="Normal 9 3 3 2 5 2 4" xfId="21337" xr:uid="{5C9B5953-6275-4999-B21E-07DDC7D8EEC2}"/>
    <cellStyle name="Normal 9 3 3 2 5 3" xfId="6552" xr:uid="{00000000-0005-0000-0000-00000A200000}"/>
    <cellStyle name="Normal 9 3 3 2 5 3 2" xfId="14981" xr:uid="{F1484D25-D544-44B1-8091-D069EAFF1E8D}"/>
    <cellStyle name="Normal 9 3 3 2 5 3 3" xfId="23409" xr:uid="{8E920A6A-DD9A-4CEF-A54D-7C07EDD56D45}"/>
    <cellStyle name="Normal 9 3 3 2 5 4" xfId="10763" xr:uid="{DCAB70CE-47A2-4BE5-B978-64EEC05C8667}"/>
    <cellStyle name="Normal 9 3 3 2 5 5" xfId="19192" xr:uid="{FCC177A0-01B6-4A73-B17C-997DF9861173}"/>
    <cellStyle name="Normal 9 3 3 2 6" xfId="2680" xr:uid="{00000000-0005-0000-0000-00000B200000}"/>
    <cellStyle name="Normal 9 3 3 2 6 2" xfId="6965" xr:uid="{00000000-0005-0000-0000-00000C200000}"/>
    <cellStyle name="Normal 9 3 3 2 6 2 2" xfId="15394" xr:uid="{55383170-5CA9-49D7-9E2B-BF3BC17F9B7F}"/>
    <cellStyle name="Normal 9 3 3 2 6 2 3" xfId="23822" xr:uid="{AE4D554E-7E03-45FF-B594-0F8BE5BA6C2C}"/>
    <cellStyle name="Normal 9 3 3 2 6 3" xfId="11176" xr:uid="{4262F5AD-F3BB-44B0-945A-CFCF9B7BD75C}"/>
    <cellStyle name="Normal 9 3 3 2 6 4" xfId="19605" xr:uid="{0C49E252-44DD-4277-B896-5A3B87B21EF5}"/>
    <cellStyle name="Normal 9 3 3 2 7" xfId="4900" xr:uid="{00000000-0005-0000-0000-00000D200000}"/>
    <cellStyle name="Normal 9 3 3 2 7 2" xfId="13329" xr:uid="{EC4E5400-4BA0-4C24-8BF1-F77068751C64}"/>
    <cellStyle name="Normal 9 3 3 2 7 3" xfId="21757" xr:uid="{14B05B71-46B9-4E95-B54F-B717605AFF30}"/>
    <cellStyle name="Normal 9 3 3 2 8" xfId="9111" xr:uid="{4F8E263E-7E33-467D-AD8E-26F6D1445B8C}"/>
    <cellStyle name="Normal 9 3 3 2 9" xfId="17540" xr:uid="{04A0149A-8D24-4494-94E0-BE704B394B43}"/>
    <cellStyle name="Normal 9 3 3 3" xfId="1000" xr:uid="{00000000-0005-0000-0000-00000E200000}"/>
    <cellStyle name="Normal 9 3 3 3 2" xfId="3233" xr:uid="{00000000-0005-0000-0000-00000F200000}"/>
    <cellStyle name="Normal 9 3 3 3 2 2" xfId="7457" xr:uid="{00000000-0005-0000-0000-000010200000}"/>
    <cellStyle name="Normal 9 3 3 3 2 2 2" xfId="15886" xr:uid="{5E0BFFC5-54F0-4AFB-B434-8B535346BA2C}"/>
    <cellStyle name="Normal 9 3 3 3 2 2 3" xfId="24314" xr:uid="{FA96E397-A5EB-407A-8076-01782ED73EBC}"/>
    <cellStyle name="Normal 9 3 3 3 2 3" xfId="11668" xr:uid="{809025CB-E248-4A79-B302-3AD58575689B}"/>
    <cellStyle name="Normal 9 3 3 3 2 4" xfId="20097" xr:uid="{592A08B8-2ED3-47BD-9A77-B2D93C8B0525}"/>
    <cellStyle name="Normal 9 3 3 3 3" xfId="5312" xr:uid="{00000000-0005-0000-0000-000011200000}"/>
    <cellStyle name="Normal 9 3 3 3 3 2" xfId="13741" xr:uid="{ECB90C4F-2003-4CF3-BC13-3475F58D1DED}"/>
    <cellStyle name="Normal 9 3 3 3 3 3" xfId="22169" xr:uid="{872E4FF2-6D82-449E-BF64-893A976C6F38}"/>
    <cellStyle name="Normal 9 3 3 3 4" xfId="9523" xr:uid="{93FA64F0-0EDE-4D71-8D50-DADB73DB806F}"/>
    <cellStyle name="Normal 9 3 3 3 5" xfId="17952" xr:uid="{D31A2941-75B0-40E2-880F-6641DE09DB28}"/>
    <cellStyle name="Normal 9 3 3 4" xfId="1416" xr:uid="{00000000-0005-0000-0000-000012200000}"/>
    <cellStyle name="Normal 9 3 3 4 2" xfId="3646" xr:uid="{00000000-0005-0000-0000-000013200000}"/>
    <cellStyle name="Normal 9 3 3 4 2 2" xfId="7870" xr:uid="{00000000-0005-0000-0000-000014200000}"/>
    <cellStyle name="Normal 9 3 3 4 2 2 2" xfId="16299" xr:uid="{8701A27E-C225-4CB8-81D0-CCCCD18319E3}"/>
    <cellStyle name="Normal 9 3 3 4 2 2 3" xfId="24727" xr:uid="{ABD0AA45-92F6-4770-8496-1292A34CCF4A}"/>
    <cellStyle name="Normal 9 3 3 4 2 3" xfId="12081" xr:uid="{86C1DC13-8B48-4C79-A95C-B734B5B6469C}"/>
    <cellStyle name="Normal 9 3 3 4 2 4" xfId="20510" xr:uid="{3288D391-9DDF-481E-8F54-22D20EB25121}"/>
    <cellStyle name="Normal 9 3 3 4 3" xfId="5725" xr:uid="{00000000-0005-0000-0000-000015200000}"/>
    <cellStyle name="Normal 9 3 3 4 3 2" xfId="14154" xr:uid="{884CB4DB-D18F-4DC1-940D-D7A4117ADA73}"/>
    <cellStyle name="Normal 9 3 3 4 3 3" xfId="22582" xr:uid="{05D32C85-3914-4C22-861E-32925178B24E}"/>
    <cellStyle name="Normal 9 3 3 4 4" xfId="9936" xr:uid="{0DC6AC5B-A71A-4F4E-A500-D32F8D7549B3}"/>
    <cellStyle name="Normal 9 3 3 4 5" xfId="18365" xr:uid="{6C93BDB4-2E9A-4D72-BC5C-3119722F1103}"/>
    <cellStyle name="Normal 9 3 3 5" xfId="1829" xr:uid="{00000000-0005-0000-0000-000016200000}"/>
    <cellStyle name="Normal 9 3 3 5 2" xfId="4059" xr:uid="{00000000-0005-0000-0000-000017200000}"/>
    <cellStyle name="Normal 9 3 3 5 2 2" xfId="8283" xr:uid="{00000000-0005-0000-0000-000018200000}"/>
    <cellStyle name="Normal 9 3 3 5 2 2 2" xfId="16712" xr:uid="{692DA378-1D60-4DCE-B485-E147A72BB456}"/>
    <cellStyle name="Normal 9 3 3 5 2 2 3" xfId="25140" xr:uid="{AEE2B83D-5220-4596-8196-A0F2946E2614}"/>
    <cellStyle name="Normal 9 3 3 5 2 3" xfId="12494" xr:uid="{E8B68836-E657-438F-9855-EE2960A92091}"/>
    <cellStyle name="Normal 9 3 3 5 2 4" xfId="20923" xr:uid="{4F566530-D7B2-492B-9787-8F68E90E022C}"/>
    <cellStyle name="Normal 9 3 3 5 3" xfId="6138" xr:uid="{00000000-0005-0000-0000-000019200000}"/>
    <cellStyle name="Normal 9 3 3 5 3 2" xfId="14567" xr:uid="{037398FB-0325-42DA-B3F0-75892100ACEC}"/>
    <cellStyle name="Normal 9 3 3 5 3 3" xfId="22995" xr:uid="{8A6C2EF4-AE5E-4173-AA2D-959A38C6CEBD}"/>
    <cellStyle name="Normal 9 3 3 5 4" xfId="10349" xr:uid="{58DB026A-D9D1-4892-A96E-FF0C4FBEE075}"/>
    <cellStyle name="Normal 9 3 3 5 5" xfId="18778" xr:uid="{20CFA0E8-AEFA-41E5-91D8-608ACCEF5892}"/>
    <cellStyle name="Normal 9 3 3 6" xfId="2243" xr:uid="{00000000-0005-0000-0000-00001A200000}"/>
    <cellStyle name="Normal 9 3 3 6 2" xfId="4472" xr:uid="{00000000-0005-0000-0000-00001B200000}"/>
    <cellStyle name="Normal 9 3 3 6 2 2" xfId="8696" xr:uid="{00000000-0005-0000-0000-00001C200000}"/>
    <cellStyle name="Normal 9 3 3 6 2 2 2" xfId="17125" xr:uid="{8CE3E8EC-2B6F-4611-ACF7-437F261D91B0}"/>
    <cellStyle name="Normal 9 3 3 6 2 2 3" xfId="25553" xr:uid="{094067FC-C005-43FD-93DB-F5FD570B8911}"/>
    <cellStyle name="Normal 9 3 3 6 2 3" xfId="12907" xr:uid="{C08D11B5-6503-472C-8C50-221C7B8B0F63}"/>
    <cellStyle name="Normal 9 3 3 6 2 4" xfId="21336" xr:uid="{34174C5F-45E3-4E05-942A-37BEC275EC32}"/>
    <cellStyle name="Normal 9 3 3 6 3" xfId="6551" xr:uid="{00000000-0005-0000-0000-00001D200000}"/>
    <cellStyle name="Normal 9 3 3 6 3 2" xfId="14980" xr:uid="{7B2028B6-41D7-4B8F-85E0-0C130914E78A}"/>
    <cellStyle name="Normal 9 3 3 6 3 3" xfId="23408" xr:uid="{02529516-380F-4BF7-BCFE-AFACBA618196}"/>
    <cellStyle name="Normal 9 3 3 6 4" xfId="10762" xr:uid="{7A80AD70-B1A6-4B72-B3F3-19E640061F43}"/>
    <cellStyle name="Normal 9 3 3 6 5" xfId="19191" xr:uid="{0EB55B4D-D98C-4B41-8456-159A22E99CBA}"/>
    <cellStyle name="Normal 9 3 3 7" xfId="2679" xr:uid="{00000000-0005-0000-0000-00001E200000}"/>
    <cellStyle name="Normal 9 3 3 7 2" xfId="6964" xr:uid="{00000000-0005-0000-0000-00001F200000}"/>
    <cellStyle name="Normal 9 3 3 7 2 2" xfId="15393" xr:uid="{AD199015-8B13-4257-866B-612F42DCF67A}"/>
    <cellStyle name="Normal 9 3 3 7 2 3" xfId="23821" xr:uid="{373B3D00-2A21-4953-9E5C-B307CA5FBE62}"/>
    <cellStyle name="Normal 9 3 3 7 3" xfId="11175" xr:uid="{3F907FFF-19CE-4A42-ADBB-469B61453CD7}"/>
    <cellStyle name="Normal 9 3 3 7 4" xfId="19604" xr:uid="{637E0A11-E79A-4057-B2F5-BA198423E3B0}"/>
    <cellStyle name="Normal 9 3 3 8" xfId="4899" xr:uid="{00000000-0005-0000-0000-000020200000}"/>
    <cellStyle name="Normal 9 3 3 8 2" xfId="13328" xr:uid="{91E848E4-73BE-4F8B-AC11-5DD993D314F5}"/>
    <cellStyle name="Normal 9 3 3 8 3" xfId="21756" xr:uid="{02FAFAAD-5D4F-4B55-99F3-135461326790}"/>
    <cellStyle name="Normal 9 3 3 9" xfId="9110" xr:uid="{A41FF6F6-2740-4023-9684-CF6913AE8434}"/>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8" xr:uid="{DECB0BBB-01F3-41D1-AAF5-39611CDDEC8C}"/>
    <cellStyle name="Normal 9 3 4 2 2 2 3" xfId="24316" xr:uid="{58EEEEA2-92D5-4968-959C-847D4973D924}"/>
    <cellStyle name="Normal 9 3 4 2 2 3" xfId="11670" xr:uid="{A0C8BD13-95FD-48F2-B43A-CBC84AE2BD47}"/>
    <cellStyle name="Normal 9 3 4 2 2 4" xfId="20099" xr:uid="{FD7A1592-D734-45F5-9C8A-D1DABE8571F8}"/>
    <cellStyle name="Normal 9 3 4 2 3" xfId="5314" xr:uid="{00000000-0005-0000-0000-000025200000}"/>
    <cellStyle name="Normal 9 3 4 2 3 2" xfId="13743" xr:uid="{0CF91DF6-B694-4929-8BFB-2F265043838A}"/>
    <cellStyle name="Normal 9 3 4 2 3 3" xfId="22171" xr:uid="{7D5432B7-7DE4-4AB2-81B0-87D9F8DD0E3F}"/>
    <cellStyle name="Normal 9 3 4 2 4" xfId="9525" xr:uid="{6C87D88E-8871-4D58-B4D9-1F101B6750FD}"/>
    <cellStyle name="Normal 9 3 4 2 5" xfId="17954" xr:uid="{E957F859-B613-4064-BF87-8DFD5E0B8560}"/>
    <cellStyle name="Normal 9 3 4 3" xfId="1418" xr:uid="{00000000-0005-0000-0000-000026200000}"/>
    <cellStyle name="Normal 9 3 4 3 2" xfId="3648" xr:uid="{00000000-0005-0000-0000-000027200000}"/>
    <cellStyle name="Normal 9 3 4 3 2 2" xfId="7872" xr:uid="{00000000-0005-0000-0000-000028200000}"/>
    <cellStyle name="Normal 9 3 4 3 2 2 2" xfId="16301" xr:uid="{AFB8CE92-E207-471B-B2F8-64972FB2CAC7}"/>
    <cellStyle name="Normal 9 3 4 3 2 2 3" xfId="24729" xr:uid="{D4B14C64-1842-4340-91E5-E931BA6843F3}"/>
    <cellStyle name="Normal 9 3 4 3 2 3" xfId="12083" xr:uid="{F2923778-DC17-4C07-B437-04477353B3E4}"/>
    <cellStyle name="Normal 9 3 4 3 2 4" xfId="20512" xr:uid="{BCE84381-2228-468A-9AD8-8C1D1EAED21E}"/>
    <cellStyle name="Normal 9 3 4 3 3" xfId="5727" xr:uid="{00000000-0005-0000-0000-000029200000}"/>
    <cellStyle name="Normal 9 3 4 3 3 2" xfId="14156" xr:uid="{570F0B1A-AF99-4F95-B293-264DC9840374}"/>
    <cellStyle name="Normal 9 3 4 3 3 3" xfId="22584" xr:uid="{3E1F1566-FFDD-49F4-8FCF-407FE6AE03DA}"/>
    <cellStyle name="Normal 9 3 4 3 4" xfId="9938" xr:uid="{59EF3F31-AC84-4DD2-A1B6-2AAAF2DDEF96}"/>
    <cellStyle name="Normal 9 3 4 3 5" xfId="18367" xr:uid="{7813DBD8-CB6A-48E6-9283-2F6200918B83}"/>
    <cellStyle name="Normal 9 3 4 4" xfId="1831" xr:uid="{00000000-0005-0000-0000-00002A200000}"/>
    <cellStyle name="Normal 9 3 4 4 2" xfId="4061" xr:uid="{00000000-0005-0000-0000-00002B200000}"/>
    <cellStyle name="Normal 9 3 4 4 2 2" xfId="8285" xr:uid="{00000000-0005-0000-0000-00002C200000}"/>
    <cellStyle name="Normal 9 3 4 4 2 2 2" xfId="16714" xr:uid="{E5EBD7A4-3508-49AD-842E-C2DEFEC95D39}"/>
    <cellStyle name="Normal 9 3 4 4 2 2 3" xfId="25142" xr:uid="{E8407979-7DEC-4E0D-8065-05840DAEA6EF}"/>
    <cellStyle name="Normal 9 3 4 4 2 3" xfId="12496" xr:uid="{99367A37-AFC8-4DB9-BD1D-5ACCDAD0AB92}"/>
    <cellStyle name="Normal 9 3 4 4 2 4" xfId="20925" xr:uid="{C62309D5-4A7C-4FC7-BC9F-3E680A384E7E}"/>
    <cellStyle name="Normal 9 3 4 4 3" xfId="6140" xr:uid="{00000000-0005-0000-0000-00002D200000}"/>
    <cellStyle name="Normal 9 3 4 4 3 2" xfId="14569" xr:uid="{2F3F91B8-E14F-4BBD-B346-8D0B923FA9E3}"/>
    <cellStyle name="Normal 9 3 4 4 3 3" xfId="22997" xr:uid="{DDEA9557-9165-4CC9-A413-5BEA72B1FA20}"/>
    <cellStyle name="Normal 9 3 4 4 4" xfId="10351" xr:uid="{9D1F0AD1-CE3B-4739-9A65-1C5C481EDEEC}"/>
    <cellStyle name="Normal 9 3 4 4 5" xfId="18780" xr:uid="{29224717-82B4-44B5-A739-E675D92488BA}"/>
    <cellStyle name="Normal 9 3 4 5" xfId="2245" xr:uid="{00000000-0005-0000-0000-00002E200000}"/>
    <cellStyle name="Normal 9 3 4 5 2" xfId="4474" xr:uid="{00000000-0005-0000-0000-00002F200000}"/>
    <cellStyle name="Normal 9 3 4 5 2 2" xfId="8698" xr:uid="{00000000-0005-0000-0000-000030200000}"/>
    <cellStyle name="Normal 9 3 4 5 2 2 2" xfId="17127" xr:uid="{E2AF4F3E-97F8-4B53-87A1-E490753AC7DF}"/>
    <cellStyle name="Normal 9 3 4 5 2 2 3" xfId="25555" xr:uid="{26F82484-AB08-4297-9FFB-9CC71B61EC38}"/>
    <cellStyle name="Normal 9 3 4 5 2 3" xfId="12909" xr:uid="{0341F667-9402-4226-A332-E40D6F48297E}"/>
    <cellStyle name="Normal 9 3 4 5 2 4" xfId="21338" xr:uid="{7112E410-A24E-4DAC-BCD4-5B57E9992C01}"/>
    <cellStyle name="Normal 9 3 4 5 3" xfId="6553" xr:uid="{00000000-0005-0000-0000-000031200000}"/>
    <cellStyle name="Normal 9 3 4 5 3 2" xfId="14982" xr:uid="{6BD321D6-BBAE-4C86-93DF-8215C4357F31}"/>
    <cellStyle name="Normal 9 3 4 5 3 3" xfId="23410" xr:uid="{44EDFE13-24E6-4982-B157-A4D7791F6FD6}"/>
    <cellStyle name="Normal 9 3 4 5 4" xfId="10764" xr:uid="{11F34D99-D416-462F-A08B-60BAEBBE10B8}"/>
    <cellStyle name="Normal 9 3 4 5 5" xfId="19193" xr:uid="{848BF51D-4DD4-4E41-B293-F36D36A981FE}"/>
    <cellStyle name="Normal 9 3 4 6" xfId="2681" xr:uid="{00000000-0005-0000-0000-000032200000}"/>
    <cellStyle name="Normal 9 3 4 6 2" xfId="6966" xr:uid="{00000000-0005-0000-0000-000033200000}"/>
    <cellStyle name="Normal 9 3 4 6 2 2" xfId="15395" xr:uid="{4ED5D145-2FF4-4095-A8EE-67675D953CDB}"/>
    <cellStyle name="Normal 9 3 4 6 2 3" xfId="23823" xr:uid="{7C424A7C-3871-4279-AABC-7452C9238742}"/>
    <cellStyle name="Normal 9 3 4 6 3" xfId="11177" xr:uid="{37FD36EE-7320-46B7-9FB2-C7F4D387A82A}"/>
    <cellStyle name="Normal 9 3 4 6 4" xfId="19606" xr:uid="{FD007598-C4A3-4600-AB5C-059A95851441}"/>
    <cellStyle name="Normal 9 3 4 7" xfId="4901" xr:uid="{00000000-0005-0000-0000-000034200000}"/>
    <cellStyle name="Normal 9 3 4 7 2" xfId="13330" xr:uid="{AD056407-9E81-4F06-9107-4FDF446FF435}"/>
    <cellStyle name="Normal 9 3 4 7 3" xfId="21758" xr:uid="{31BEF8EC-25CD-4E4B-8726-20E52BB81793}"/>
    <cellStyle name="Normal 9 3 4 8" xfId="9112" xr:uid="{B9360FE7-42F0-4CF8-922F-4D61BEF644F8}"/>
    <cellStyle name="Normal 9 3 4 9" xfId="17541" xr:uid="{F7F78527-A4B0-4B64-919C-3DCEE94A1BDD}"/>
    <cellStyle name="Normal 9 3 5" xfId="995" xr:uid="{00000000-0005-0000-0000-000035200000}"/>
    <cellStyle name="Normal 9 3 5 2" xfId="3228" xr:uid="{00000000-0005-0000-0000-000036200000}"/>
    <cellStyle name="Normal 9 3 5 2 2" xfId="7452" xr:uid="{00000000-0005-0000-0000-000037200000}"/>
    <cellStyle name="Normal 9 3 5 2 2 2" xfId="15881" xr:uid="{BA482251-B638-4F0A-B0EC-2B895AD07414}"/>
    <cellStyle name="Normal 9 3 5 2 2 3" xfId="24309" xr:uid="{E28A7D7C-7FD6-4BFB-BF5A-5C6BC81D64E7}"/>
    <cellStyle name="Normal 9 3 5 2 3" xfId="11663" xr:uid="{7E949DEE-6231-48FA-9E85-5F1C967848D6}"/>
    <cellStyle name="Normal 9 3 5 2 4" xfId="20092" xr:uid="{14D34243-83F1-4EFC-80B9-AA40976D32D4}"/>
    <cellStyle name="Normal 9 3 5 3" xfId="5307" xr:uid="{00000000-0005-0000-0000-000038200000}"/>
    <cellStyle name="Normal 9 3 5 3 2" xfId="13736" xr:uid="{33AC8EE3-896B-4DD1-BC0C-547DA12FF7EF}"/>
    <cellStyle name="Normal 9 3 5 3 3" xfId="22164" xr:uid="{F29BB2D1-0214-499F-A213-425CE8248AB9}"/>
    <cellStyle name="Normal 9 3 5 4" xfId="9518" xr:uid="{7C74A3A3-C9D5-4771-A658-322704A864B7}"/>
    <cellStyle name="Normal 9 3 5 5" xfId="17947" xr:uid="{67D1C01D-7B75-4344-8DB4-355874F917AA}"/>
    <cellStyle name="Normal 9 3 6" xfId="1411" xr:uid="{00000000-0005-0000-0000-000039200000}"/>
    <cellStyle name="Normal 9 3 6 2" xfId="3641" xr:uid="{00000000-0005-0000-0000-00003A200000}"/>
    <cellStyle name="Normal 9 3 6 2 2" xfId="7865" xr:uid="{00000000-0005-0000-0000-00003B200000}"/>
    <cellStyle name="Normal 9 3 6 2 2 2" xfId="16294" xr:uid="{EE55486D-C9A6-4EDF-BA52-096DCD8D3709}"/>
    <cellStyle name="Normal 9 3 6 2 2 3" xfId="24722" xr:uid="{8583F42D-2CE5-4523-A82C-93317AD70702}"/>
    <cellStyle name="Normal 9 3 6 2 3" xfId="12076" xr:uid="{00FA1A2E-12F7-45FC-9AAC-026CCF9BC7BB}"/>
    <cellStyle name="Normal 9 3 6 2 4" xfId="20505" xr:uid="{1C73029C-CCB8-45BF-908A-68DCFF2999D6}"/>
    <cellStyle name="Normal 9 3 6 3" xfId="5720" xr:uid="{00000000-0005-0000-0000-00003C200000}"/>
    <cellStyle name="Normal 9 3 6 3 2" xfId="14149" xr:uid="{D6C0A197-B7B1-4BB7-973D-031045A0517A}"/>
    <cellStyle name="Normal 9 3 6 3 3" xfId="22577" xr:uid="{44B73378-F1A7-43BF-9124-68A659B957BF}"/>
    <cellStyle name="Normal 9 3 6 4" xfId="9931" xr:uid="{9D5C99C1-90BC-4BD4-AC49-DEE7ADD8B3CC}"/>
    <cellStyle name="Normal 9 3 6 5" xfId="18360" xr:uid="{601C362D-F818-43F4-9E23-60572CB1CD08}"/>
    <cellStyle name="Normal 9 3 7" xfId="1824" xr:uid="{00000000-0005-0000-0000-00003D200000}"/>
    <cellStyle name="Normal 9 3 7 2" xfId="4054" xr:uid="{00000000-0005-0000-0000-00003E200000}"/>
    <cellStyle name="Normal 9 3 7 2 2" xfId="8278" xr:uid="{00000000-0005-0000-0000-00003F200000}"/>
    <cellStyle name="Normal 9 3 7 2 2 2" xfId="16707" xr:uid="{3C3E7830-7BD9-4F29-ACD5-E661B9BA6373}"/>
    <cellStyle name="Normal 9 3 7 2 2 3" xfId="25135" xr:uid="{230B04B3-86D6-47BB-A9A7-2F5AFB6816B3}"/>
    <cellStyle name="Normal 9 3 7 2 3" xfId="12489" xr:uid="{DFF1B209-9849-42E9-9F69-E7D350AF25CC}"/>
    <cellStyle name="Normal 9 3 7 2 4" xfId="20918" xr:uid="{51E50250-348E-4EE2-9C9F-BA1AA2F98A7B}"/>
    <cellStyle name="Normal 9 3 7 3" xfId="6133" xr:uid="{00000000-0005-0000-0000-000040200000}"/>
    <cellStyle name="Normal 9 3 7 3 2" xfId="14562" xr:uid="{A8C012A9-AC4B-4D76-919E-76101B887E3D}"/>
    <cellStyle name="Normal 9 3 7 3 3" xfId="22990" xr:uid="{0416340C-8C34-42CE-A10F-9E85B66E86B0}"/>
    <cellStyle name="Normal 9 3 7 4" xfId="10344" xr:uid="{DD98A472-97F5-404E-BC39-D2246CA93B14}"/>
    <cellStyle name="Normal 9 3 7 5" xfId="18773" xr:uid="{55BF4F8D-A524-4F31-9A65-0E1656F081F9}"/>
    <cellStyle name="Normal 9 3 8" xfId="2238" xr:uid="{00000000-0005-0000-0000-000041200000}"/>
    <cellStyle name="Normal 9 3 8 2" xfId="4467" xr:uid="{00000000-0005-0000-0000-000042200000}"/>
    <cellStyle name="Normal 9 3 8 2 2" xfId="8691" xr:uid="{00000000-0005-0000-0000-000043200000}"/>
    <cellStyle name="Normal 9 3 8 2 2 2" xfId="17120" xr:uid="{98E8D452-2026-49E0-B1E5-C910F950AAC1}"/>
    <cellStyle name="Normal 9 3 8 2 2 3" xfId="25548" xr:uid="{B061641B-DAC0-4C65-A717-80BAFBF79442}"/>
    <cellStyle name="Normal 9 3 8 2 3" xfId="12902" xr:uid="{051C57B1-2E2B-4130-BEB4-9B9371D3D0D3}"/>
    <cellStyle name="Normal 9 3 8 2 4" xfId="21331" xr:uid="{2D49EE38-36D2-437D-9D99-D3D4D7C4E1CA}"/>
    <cellStyle name="Normal 9 3 8 3" xfId="6546" xr:uid="{00000000-0005-0000-0000-000044200000}"/>
    <cellStyle name="Normal 9 3 8 3 2" xfId="14975" xr:uid="{B7262BE0-CF67-4E0B-90E9-5D5A647C31E1}"/>
    <cellStyle name="Normal 9 3 8 3 3" xfId="23403" xr:uid="{7F982DAC-2D30-4A7B-9F27-63EFD719A6E0}"/>
    <cellStyle name="Normal 9 3 8 4" xfId="10757" xr:uid="{1E892911-2BB8-49AD-A7C6-5CDE24A58C2E}"/>
    <cellStyle name="Normal 9 3 8 5" xfId="19186" xr:uid="{CDB22ADB-0D53-4450-A7A7-A34BCF1062D9}"/>
    <cellStyle name="Normal 9 3 9" xfId="2674" xr:uid="{00000000-0005-0000-0000-000045200000}"/>
    <cellStyle name="Normal 9 3 9 2" xfId="6959" xr:uid="{00000000-0005-0000-0000-000046200000}"/>
    <cellStyle name="Normal 9 3 9 2 2" xfId="15388" xr:uid="{EFC50BB0-F012-479E-802A-1440CE639C11}"/>
    <cellStyle name="Normal 9 3 9 2 3" xfId="23816" xr:uid="{9E863D34-6939-441B-A469-F887AD0425FC}"/>
    <cellStyle name="Normal 9 3 9 3" xfId="11170" xr:uid="{840A7C33-85F1-43FF-AE15-EDE14F23EBDD}"/>
    <cellStyle name="Normal 9 3 9 4" xfId="19599" xr:uid="{63565BE6-54B0-4C51-BECD-D0D3D6A4AC28}"/>
    <cellStyle name="Normal 9 4" xfId="535" xr:uid="{00000000-0005-0000-0000-000047200000}"/>
    <cellStyle name="Normal 9 4 2" xfId="1003" xr:uid="{00000000-0005-0000-0000-000048200000}"/>
    <cellStyle name="Normal 9 5" xfId="536" xr:uid="{00000000-0005-0000-0000-000049200000}"/>
    <cellStyle name="Normal 9 5 10" xfId="17542" xr:uid="{F3F7F4B1-6F29-4ADF-ABE1-5A1F2C88F793}"/>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90" xr:uid="{E350A291-F51D-4B50-8D09-DBBAC1F04FE3}"/>
    <cellStyle name="Normal 9 5 2 2 2 2 3" xfId="24318" xr:uid="{609A6361-67C8-4736-8F3E-55F17287004F}"/>
    <cellStyle name="Normal 9 5 2 2 2 3" xfId="11672" xr:uid="{FDBEE79B-E14F-437F-A69D-0ED1773FBA82}"/>
    <cellStyle name="Normal 9 5 2 2 2 4" xfId="20101" xr:uid="{EB5EF918-5469-449B-8E41-7526C4A7D0D1}"/>
    <cellStyle name="Normal 9 5 2 2 3" xfId="5316" xr:uid="{00000000-0005-0000-0000-00004E200000}"/>
    <cellStyle name="Normal 9 5 2 2 3 2" xfId="13745" xr:uid="{CAEE107D-F2A4-4066-9AF8-556849604167}"/>
    <cellStyle name="Normal 9 5 2 2 3 3" xfId="22173" xr:uid="{4B586AE9-6AC6-49A5-ACD8-54F12EC057D5}"/>
    <cellStyle name="Normal 9 5 2 2 4" xfId="9527" xr:uid="{9523D6AD-B282-4370-A7F7-997BF5BEC805}"/>
    <cellStyle name="Normal 9 5 2 2 5" xfId="17956" xr:uid="{9DC376B6-5793-478C-A9E2-42ACF4DBB96C}"/>
    <cellStyle name="Normal 9 5 2 3" xfId="1420" xr:uid="{00000000-0005-0000-0000-00004F200000}"/>
    <cellStyle name="Normal 9 5 2 3 2" xfId="3650" xr:uid="{00000000-0005-0000-0000-000050200000}"/>
    <cellStyle name="Normal 9 5 2 3 2 2" xfId="7874" xr:uid="{00000000-0005-0000-0000-000051200000}"/>
    <cellStyle name="Normal 9 5 2 3 2 2 2" xfId="16303" xr:uid="{B3DE69B3-A7A0-4A90-A3B2-6E00E8E2E6B7}"/>
    <cellStyle name="Normal 9 5 2 3 2 2 3" xfId="24731" xr:uid="{53C1610D-8AE3-4C08-8E97-EBD64771D8E8}"/>
    <cellStyle name="Normal 9 5 2 3 2 3" xfId="12085" xr:uid="{09850805-E017-42C9-9ABC-26004ED0DE9A}"/>
    <cellStyle name="Normal 9 5 2 3 2 4" xfId="20514" xr:uid="{4FA08E74-AD9E-4F86-B27E-A14754E60704}"/>
    <cellStyle name="Normal 9 5 2 3 3" xfId="5729" xr:uid="{00000000-0005-0000-0000-000052200000}"/>
    <cellStyle name="Normal 9 5 2 3 3 2" xfId="14158" xr:uid="{6B8E8190-0C3E-4BE1-8EED-5AA9C90E4FE6}"/>
    <cellStyle name="Normal 9 5 2 3 3 3" xfId="22586" xr:uid="{9F798A00-6D92-4D21-A48B-70F00A81A053}"/>
    <cellStyle name="Normal 9 5 2 3 4" xfId="9940" xr:uid="{80ECE9D2-970C-48DF-AF2A-9845D707F1E5}"/>
    <cellStyle name="Normal 9 5 2 3 5" xfId="18369" xr:uid="{FC62091A-7017-4D30-8C91-88EE7344768A}"/>
    <cellStyle name="Normal 9 5 2 4" xfId="1833" xr:uid="{00000000-0005-0000-0000-000053200000}"/>
    <cellStyle name="Normal 9 5 2 4 2" xfId="4063" xr:uid="{00000000-0005-0000-0000-000054200000}"/>
    <cellStyle name="Normal 9 5 2 4 2 2" xfId="8287" xr:uid="{00000000-0005-0000-0000-000055200000}"/>
    <cellStyle name="Normal 9 5 2 4 2 2 2" xfId="16716" xr:uid="{45CA0719-F2AA-4357-8D41-E23A291EE881}"/>
    <cellStyle name="Normal 9 5 2 4 2 2 3" xfId="25144" xr:uid="{6401F431-9550-4BFC-BE2A-68EE35E0146D}"/>
    <cellStyle name="Normal 9 5 2 4 2 3" xfId="12498" xr:uid="{7581625D-12FC-4343-9A8C-944C30496A11}"/>
    <cellStyle name="Normal 9 5 2 4 2 4" xfId="20927" xr:uid="{8D754363-AE63-4A82-B14A-38BA5905FEA8}"/>
    <cellStyle name="Normal 9 5 2 4 3" xfId="6142" xr:uid="{00000000-0005-0000-0000-000056200000}"/>
    <cellStyle name="Normal 9 5 2 4 3 2" xfId="14571" xr:uid="{163C105C-FBCF-47C7-AD32-636348106D14}"/>
    <cellStyle name="Normal 9 5 2 4 3 3" xfId="22999" xr:uid="{30CEAC6A-D44E-48DF-8C0D-5CCC5B2CAF6D}"/>
    <cellStyle name="Normal 9 5 2 4 4" xfId="10353" xr:uid="{795F3DF3-4016-4C06-959A-60964661885B}"/>
    <cellStyle name="Normal 9 5 2 4 5" xfId="18782" xr:uid="{9FE5515C-30F1-44F3-BC97-43AE9D7DA5F3}"/>
    <cellStyle name="Normal 9 5 2 5" xfId="2247" xr:uid="{00000000-0005-0000-0000-000057200000}"/>
    <cellStyle name="Normal 9 5 2 5 2" xfId="4476" xr:uid="{00000000-0005-0000-0000-000058200000}"/>
    <cellStyle name="Normal 9 5 2 5 2 2" xfId="8700" xr:uid="{00000000-0005-0000-0000-000059200000}"/>
    <cellStyle name="Normal 9 5 2 5 2 2 2" xfId="17129" xr:uid="{A944792D-91A8-4C27-B3D3-B4416334401A}"/>
    <cellStyle name="Normal 9 5 2 5 2 2 3" xfId="25557" xr:uid="{012DC632-2367-4F01-AD3D-09737D6ED45A}"/>
    <cellStyle name="Normal 9 5 2 5 2 3" xfId="12911" xr:uid="{D990E893-5096-421E-B239-83EC567497CA}"/>
    <cellStyle name="Normal 9 5 2 5 2 4" xfId="21340" xr:uid="{13B7C5D4-F918-4393-A691-A9B96D02CD84}"/>
    <cellStyle name="Normal 9 5 2 5 3" xfId="6555" xr:uid="{00000000-0005-0000-0000-00005A200000}"/>
    <cellStyle name="Normal 9 5 2 5 3 2" xfId="14984" xr:uid="{41AFF8AB-C564-416B-844E-10176B51278F}"/>
    <cellStyle name="Normal 9 5 2 5 3 3" xfId="23412" xr:uid="{CF8739B5-AF06-457D-8008-927554AE17CA}"/>
    <cellStyle name="Normal 9 5 2 5 4" xfId="10766" xr:uid="{08B42A2D-D94F-4F00-A3BC-91C6670F4ACD}"/>
    <cellStyle name="Normal 9 5 2 5 5" xfId="19195" xr:uid="{C153F9B7-AF19-4DC9-B99D-437935B868EE}"/>
    <cellStyle name="Normal 9 5 2 6" xfId="2683" xr:uid="{00000000-0005-0000-0000-00005B200000}"/>
    <cellStyle name="Normal 9 5 2 6 2" xfId="6968" xr:uid="{00000000-0005-0000-0000-00005C200000}"/>
    <cellStyle name="Normal 9 5 2 6 2 2" xfId="15397" xr:uid="{A70ADA79-C77E-4F3F-9A9C-A6D23696CDA3}"/>
    <cellStyle name="Normal 9 5 2 6 2 3" xfId="23825" xr:uid="{A104F5EE-5CA9-462E-953D-C1B59735D9D7}"/>
    <cellStyle name="Normal 9 5 2 6 3" xfId="11179" xr:uid="{A8E548F8-5BD0-4515-8AFF-F32010824ADD}"/>
    <cellStyle name="Normal 9 5 2 6 4" xfId="19608" xr:uid="{586CD50C-C89F-433F-8EAE-224189D1995E}"/>
    <cellStyle name="Normal 9 5 2 7" xfId="4903" xr:uid="{00000000-0005-0000-0000-00005D200000}"/>
    <cellStyle name="Normal 9 5 2 7 2" xfId="13332" xr:uid="{FEF12F60-1821-48FB-89F4-C13B5D39AFB4}"/>
    <cellStyle name="Normal 9 5 2 7 3" xfId="21760" xr:uid="{DA62C988-AD64-4717-BE9A-418CFE01A996}"/>
    <cellStyle name="Normal 9 5 2 8" xfId="9114" xr:uid="{1BD930D8-2441-4C6B-A9BD-B2AB66504468}"/>
    <cellStyle name="Normal 9 5 2 9" xfId="17543" xr:uid="{9862195C-912A-45E3-85D7-B7CC4F0D9015}"/>
    <cellStyle name="Normal 9 5 3" xfId="1004" xr:uid="{00000000-0005-0000-0000-00005E200000}"/>
    <cellStyle name="Normal 9 5 3 2" xfId="3236" xr:uid="{00000000-0005-0000-0000-00005F200000}"/>
    <cellStyle name="Normal 9 5 3 2 2" xfId="7460" xr:uid="{00000000-0005-0000-0000-000060200000}"/>
    <cellStyle name="Normal 9 5 3 2 2 2" xfId="15889" xr:uid="{8A7453F6-9A80-4CA5-9DBE-EFE3BF8CEE70}"/>
    <cellStyle name="Normal 9 5 3 2 2 3" xfId="24317" xr:uid="{0F58EFBA-63D2-4116-9F92-54D05D0FE235}"/>
    <cellStyle name="Normal 9 5 3 2 3" xfId="11671" xr:uid="{7DF39524-2353-4794-B371-93880F730C8F}"/>
    <cellStyle name="Normal 9 5 3 2 4" xfId="20100" xr:uid="{6BE12722-5F69-4901-9CB1-D61D11CB19D8}"/>
    <cellStyle name="Normal 9 5 3 3" xfId="5315" xr:uid="{00000000-0005-0000-0000-000061200000}"/>
    <cellStyle name="Normal 9 5 3 3 2" xfId="13744" xr:uid="{3AA69733-65EF-447E-9CED-39F72A9A496A}"/>
    <cellStyle name="Normal 9 5 3 3 3" xfId="22172" xr:uid="{9E99E94C-F90E-4D88-B04F-EF293E2E1714}"/>
    <cellStyle name="Normal 9 5 3 4" xfId="9526" xr:uid="{8BD31B1D-64CF-4DC2-9E3D-0CA54E07C0AC}"/>
    <cellStyle name="Normal 9 5 3 5" xfId="17955" xr:uid="{5861DB65-CB98-4FBA-B469-5727D6C5AF01}"/>
    <cellStyle name="Normal 9 5 4" xfId="1419" xr:uid="{00000000-0005-0000-0000-000062200000}"/>
    <cellStyle name="Normal 9 5 4 2" xfId="3649" xr:uid="{00000000-0005-0000-0000-000063200000}"/>
    <cellStyle name="Normal 9 5 4 2 2" xfId="7873" xr:uid="{00000000-0005-0000-0000-000064200000}"/>
    <cellStyle name="Normal 9 5 4 2 2 2" xfId="16302" xr:uid="{A51866C1-6556-4466-863A-AE36724A9439}"/>
    <cellStyle name="Normal 9 5 4 2 2 3" xfId="24730" xr:uid="{F4914185-398E-44CD-8DB1-2BDF19831501}"/>
    <cellStyle name="Normal 9 5 4 2 3" xfId="12084" xr:uid="{3F1E9CB2-3C4A-4BCA-A7B3-CF8AB8AECE51}"/>
    <cellStyle name="Normal 9 5 4 2 4" xfId="20513" xr:uid="{3F2C935D-89E3-4539-AA57-C03A0BA4E413}"/>
    <cellStyle name="Normal 9 5 4 3" xfId="5728" xr:uid="{00000000-0005-0000-0000-000065200000}"/>
    <cellStyle name="Normal 9 5 4 3 2" xfId="14157" xr:uid="{0583F686-EEEF-420F-861B-5663A6B0AE8F}"/>
    <cellStyle name="Normal 9 5 4 3 3" xfId="22585" xr:uid="{DAEABE3A-91E6-4714-8E48-8A788D950684}"/>
    <cellStyle name="Normal 9 5 4 4" xfId="9939" xr:uid="{29D95788-3FD2-43F5-9D51-F7CAC29734FF}"/>
    <cellStyle name="Normal 9 5 4 5" xfId="18368" xr:uid="{7A212B8A-FCD2-429E-914F-535330907B22}"/>
    <cellStyle name="Normal 9 5 5" xfId="1832" xr:uid="{00000000-0005-0000-0000-000066200000}"/>
    <cellStyle name="Normal 9 5 5 2" xfId="4062" xr:uid="{00000000-0005-0000-0000-000067200000}"/>
    <cellStyle name="Normal 9 5 5 2 2" xfId="8286" xr:uid="{00000000-0005-0000-0000-000068200000}"/>
    <cellStyle name="Normal 9 5 5 2 2 2" xfId="16715" xr:uid="{9283FB09-2B7D-4563-9B4F-2B6E3A02D1BB}"/>
    <cellStyle name="Normal 9 5 5 2 2 3" xfId="25143" xr:uid="{6B7B3916-295E-43AD-B1AC-9630179230F8}"/>
    <cellStyle name="Normal 9 5 5 2 3" xfId="12497" xr:uid="{71D67B34-1EC6-499B-AFD7-5B04BCE28F99}"/>
    <cellStyle name="Normal 9 5 5 2 4" xfId="20926" xr:uid="{F64586F3-89B4-4744-B96C-F01151865F53}"/>
    <cellStyle name="Normal 9 5 5 3" xfId="6141" xr:uid="{00000000-0005-0000-0000-000069200000}"/>
    <cellStyle name="Normal 9 5 5 3 2" xfId="14570" xr:uid="{8265901C-1647-479A-90BE-7479C0867D91}"/>
    <cellStyle name="Normal 9 5 5 3 3" xfId="22998" xr:uid="{8C08B944-ECF3-45A9-A343-5BD76385D105}"/>
    <cellStyle name="Normal 9 5 5 4" xfId="10352" xr:uid="{2E24EA89-528F-42F8-8DFF-4D4EC9EE9740}"/>
    <cellStyle name="Normal 9 5 5 5" xfId="18781" xr:uid="{688531F4-FA65-469A-9F72-BDE33C09BDE2}"/>
    <cellStyle name="Normal 9 5 6" xfId="2246" xr:uid="{00000000-0005-0000-0000-00006A200000}"/>
    <cellStyle name="Normal 9 5 6 2" xfId="4475" xr:uid="{00000000-0005-0000-0000-00006B200000}"/>
    <cellStyle name="Normal 9 5 6 2 2" xfId="8699" xr:uid="{00000000-0005-0000-0000-00006C200000}"/>
    <cellStyle name="Normal 9 5 6 2 2 2" xfId="17128" xr:uid="{423DE988-DCEF-4E00-8D3F-72DB31901B10}"/>
    <cellStyle name="Normal 9 5 6 2 2 3" xfId="25556" xr:uid="{CC60F2EA-07A5-4B5D-8FEA-BEC0EA8C18C6}"/>
    <cellStyle name="Normal 9 5 6 2 3" xfId="12910" xr:uid="{A0AE8122-0FDE-4E50-AC15-E81FD7487B57}"/>
    <cellStyle name="Normal 9 5 6 2 4" xfId="21339" xr:uid="{A6ED05DB-1854-436A-9BFF-BDA57B5BECFD}"/>
    <cellStyle name="Normal 9 5 6 3" xfId="6554" xr:uid="{00000000-0005-0000-0000-00006D200000}"/>
    <cellStyle name="Normal 9 5 6 3 2" xfId="14983" xr:uid="{637D68E8-B19D-4037-B879-15244CDF98EB}"/>
    <cellStyle name="Normal 9 5 6 3 3" xfId="23411" xr:uid="{9B5C9F79-2E82-44A1-8325-047395671341}"/>
    <cellStyle name="Normal 9 5 6 4" xfId="10765" xr:uid="{B5960A10-CA80-411D-B358-14B9FEEB08BC}"/>
    <cellStyle name="Normal 9 5 6 5" xfId="19194" xr:uid="{6C1EB3C8-EB78-4EE0-81CA-3EF6C6BD626B}"/>
    <cellStyle name="Normal 9 5 7" xfId="2682" xr:uid="{00000000-0005-0000-0000-00006E200000}"/>
    <cellStyle name="Normal 9 5 7 2" xfId="6967" xr:uid="{00000000-0005-0000-0000-00006F200000}"/>
    <cellStyle name="Normal 9 5 7 2 2" xfId="15396" xr:uid="{3D85AD48-4D35-4751-A5E5-E4C84951BCA6}"/>
    <cellStyle name="Normal 9 5 7 2 3" xfId="23824" xr:uid="{176D1619-0770-4BAB-B961-5ECA8F928209}"/>
    <cellStyle name="Normal 9 5 7 3" xfId="11178" xr:uid="{738D05A1-87E6-4BB1-8A31-A6F034ECB9D0}"/>
    <cellStyle name="Normal 9 5 7 4" xfId="19607" xr:uid="{EF349260-63FF-4F76-9622-FF4DADDE185F}"/>
    <cellStyle name="Normal 9 5 8" xfId="4902" xr:uid="{00000000-0005-0000-0000-000070200000}"/>
    <cellStyle name="Normal 9 5 8 2" xfId="13331" xr:uid="{9837CE9F-DBA7-4A3B-8B9B-9799B3C6A23C}"/>
    <cellStyle name="Normal 9 5 8 3" xfId="21759" xr:uid="{95D7E447-7766-46B4-B2A5-1ED089E9B0BD}"/>
    <cellStyle name="Normal 9 5 9" xfId="9113" xr:uid="{AC7B1971-9FAA-454A-B885-AC45624D2B2E}"/>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91" xr:uid="{62AEE25E-47A5-4473-9F2B-23374CA74080}"/>
    <cellStyle name="Normal 9 6 2 2 2 3" xfId="24319" xr:uid="{732305B2-A8A5-479D-A32A-4E55B642DEC2}"/>
    <cellStyle name="Normal 9 6 2 2 3" xfId="11673" xr:uid="{234B2580-2F08-4438-B0DB-82E826F108EA}"/>
    <cellStyle name="Normal 9 6 2 2 4" xfId="20102" xr:uid="{C9C7F4E3-015D-4F20-B9D2-05D3EFEBC9A7}"/>
    <cellStyle name="Normal 9 6 2 3" xfId="5317" xr:uid="{00000000-0005-0000-0000-000075200000}"/>
    <cellStyle name="Normal 9 6 2 3 2" xfId="13746" xr:uid="{05B2FD82-AAA9-4037-9224-B6A7D1459BC8}"/>
    <cellStyle name="Normal 9 6 2 3 3" xfId="22174" xr:uid="{76F66990-3740-4778-9409-3D4B149BBBA8}"/>
    <cellStyle name="Normal 9 6 2 4" xfId="9528" xr:uid="{05456CCB-CD39-4286-9AE1-CA6687CF25D3}"/>
    <cellStyle name="Normal 9 6 2 5" xfId="17957" xr:uid="{98DC9718-0119-4A56-BD78-DA89DB5BA79E}"/>
    <cellStyle name="Normal 9 6 3" xfId="1421" xr:uid="{00000000-0005-0000-0000-000076200000}"/>
    <cellStyle name="Normal 9 6 3 2" xfId="3651" xr:uid="{00000000-0005-0000-0000-000077200000}"/>
    <cellStyle name="Normal 9 6 3 2 2" xfId="7875" xr:uid="{00000000-0005-0000-0000-000078200000}"/>
    <cellStyle name="Normal 9 6 3 2 2 2" xfId="16304" xr:uid="{39178AF5-442C-4D58-8D23-27897EB977EF}"/>
    <cellStyle name="Normal 9 6 3 2 2 3" xfId="24732" xr:uid="{B4ACEB39-C50B-4FBE-BF15-41B4B6DA269A}"/>
    <cellStyle name="Normal 9 6 3 2 3" xfId="12086" xr:uid="{D0A8BEB8-C474-4B3F-8BA4-144EAFAA862F}"/>
    <cellStyle name="Normal 9 6 3 2 4" xfId="20515" xr:uid="{3BD6316B-CAD9-4330-B45E-F3FE2AB5F169}"/>
    <cellStyle name="Normal 9 6 3 3" xfId="5730" xr:uid="{00000000-0005-0000-0000-000079200000}"/>
    <cellStyle name="Normal 9 6 3 3 2" xfId="14159" xr:uid="{E70355C1-28BF-4E2A-AA60-33793F4ABA3F}"/>
    <cellStyle name="Normal 9 6 3 3 3" xfId="22587" xr:uid="{3BB0460E-5CF9-40DF-8B83-02E11DCDFC6C}"/>
    <cellStyle name="Normal 9 6 3 4" xfId="9941" xr:uid="{E06759C6-D5E6-4245-9565-1F8A87555052}"/>
    <cellStyle name="Normal 9 6 3 5" xfId="18370" xr:uid="{491876B7-CE29-4126-9868-9A3BB1CDD0DF}"/>
    <cellStyle name="Normal 9 6 4" xfId="1834" xr:uid="{00000000-0005-0000-0000-00007A200000}"/>
    <cellStyle name="Normal 9 6 4 2" xfId="4064" xr:uid="{00000000-0005-0000-0000-00007B200000}"/>
    <cellStyle name="Normal 9 6 4 2 2" xfId="8288" xr:uid="{00000000-0005-0000-0000-00007C200000}"/>
    <cellStyle name="Normal 9 6 4 2 2 2" xfId="16717" xr:uid="{F7327EE8-D4A3-47BC-BED0-5A63E44CD67A}"/>
    <cellStyle name="Normal 9 6 4 2 2 3" xfId="25145" xr:uid="{2E1C55CC-F57F-4AB2-ABDE-111484D33115}"/>
    <cellStyle name="Normal 9 6 4 2 3" xfId="12499" xr:uid="{5F5CD800-1921-4265-9E80-C7EB8F3D82A7}"/>
    <cellStyle name="Normal 9 6 4 2 4" xfId="20928" xr:uid="{B179CB77-B1A3-4C3D-9CB7-011D5C5E3E01}"/>
    <cellStyle name="Normal 9 6 4 3" xfId="6143" xr:uid="{00000000-0005-0000-0000-00007D200000}"/>
    <cellStyle name="Normal 9 6 4 3 2" xfId="14572" xr:uid="{30176875-EEE4-4C5E-9181-7433CEA2484B}"/>
    <cellStyle name="Normal 9 6 4 3 3" xfId="23000" xr:uid="{40608871-93D8-4070-AEE6-6BA81DC31A55}"/>
    <cellStyle name="Normal 9 6 4 4" xfId="10354" xr:uid="{91B7943B-FFF4-447A-A2E4-D1FB4A5DEBEE}"/>
    <cellStyle name="Normal 9 6 4 5" xfId="18783" xr:uid="{C53F3E61-8470-4380-AFFA-138E8DB7F05F}"/>
    <cellStyle name="Normal 9 6 5" xfId="2248" xr:uid="{00000000-0005-0000-0000-00007E200000}"/>
    <cellStyle name="Normal 9 6 5 2" xfId="4477" xr:uid="{00000000-0005-0000-0000-00007F200000}"/>
    <cellStyle name="Normal 9 6 5 2 2" xfId="8701" xr:uid="{00000000-0005-0000-0000-000080200000}"/>
    <cellStyle name="Normal 9 6 5 2 2 2" xfId="17130" xr:uid="{FD7738F0-A7B9-417B-8118-C03CA0229725}"/>
    <cellStyle name="Normal 9 6 5 2 2 3" xfId="25558" xr:uid="{DAA123F3-020C-440D-AA9A-D2341B1EBB91}"/>
    <cellStyle name="Normal 9 6 5 2 3" xfId="12912" xr:uid="{F2909EB7-D7F4-4D36-A7EB-338020410D2B}"/>
    <cellStyle name="Normal 9 6 5 2 4" xfId="21341" xr:uid="{CAB1384A-4566-437B-9F46-DB87820CB79B}"/>
    <cellStyle name="Normal 9 6 5 3" xfId="6556" xr:uid="{00000000-0005-0000-0000-000081200000}"/>
    <cellStyle name="Normal 9 6 5 3 2" xfId="14985" xr:uid="{8BCE1D3B-53E6-4D12-A5AF-C1A262F09157}"/>
    <cellStyle name="Normal 9 6 5 3 3" xfId="23413" xr:uid="{2CA1A2BA-0B82-4228-A2D3-139C81D8C048}"/>
    <cellStyle name="Normal 9 6 5 4" xfId="10767" xr:uid="{F2200A87-257B-4FB0-AFCE-F97CFB2CB76C}"/>
    <cellStyle name="Normal 9 6 5 5" xfId="19196" xr:uid="{ADC44E1D-D496-477F-B93D-35BD24B58C18}"/>
    <cellStyle name="Normal 9 6 6" xfId="2684" xr:uid="{00000000-0005-0000-0000-000082200000}"/>
    <cellStyle name="Normal 9 6 6 2" xfId="6969" xr:uid="{00000000-0005-0000-0000-000083200000}"/>
    <cellStyle name="Normal 9 6 6 2 2" xfId="15398" xr:uid="{015D1FB2-7585-4D9D-B1F9-2A16CBBAC729}"/>
    <cellStyle name="Normal 9 6 6 2 3" xfId="23826" xr:uid="{8B42E3ED-B767-406D-B2DA-BFE9C76429E4}"/>
    <cellStyle name="Normal 9 6 6 3" xfId="11180" xr:uid="{35B65C53-7DA2-4B38-BCF1-BE1286D224CE}"/>
    <cellStyle name="Normal 9 6 6 4" xfId="19609" xr:uid="{48580784-15BC-43BF-B6FB-D4435FA79EE5}"/>
    <cellStyle name="Normal 9 6 7" xfId="4904" xr:uid="{00000000-0005-0000-0000-000084200000}"/>
    <cellStyle name="Normal 9 6 7 2" xfId="13333" xr:uid="{E24EC7C9-690D-407E-9F9D-CE64BED77454}"/>
    <cellStyle name="Normal 9 6 7 3" xfId="21761" xr:uid="{945C8A9F-6131-4F82-BF38-E158920A7885}"/>
    <cellStyle name="Normal 9 6 8" xfId="9115" xr:uid="{6A4F2A0B-E194-4AEA-A182-D0897B1D9FC2}"/>
    <cellStyle name="Normal 9 6 9" xfId="17544" xr:uid="{DB12ACCC-62E5-4C6E-A8C6-07BF465F8D63}"/>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9" xr:uid="{599EABEF-2D4B-4373-8F83-F6CB3D096808}"/>
    <cellStyle name="Note 2 2 10 2 3" xfId="23907" xr:uid="{25ACC1A1-2CD3-45C3-99C8-F6398DC283C5}"/>
    <cellStyle name="Note 2 2 10 3" xfId="11261" xr:uid="{53AD957E-24B0-4A05-8068-578AC3FA29D5}"/>
    <cellStyle name="Note 2 2 10 4" xfId="19690" xr:uid="{F3CB7E7B-CEF1-40F0-8391-C15694AE8585}"/>
    <cellStyle name="Note 2 2 11" xfId="4905" xr:uid="{00000000-0005-0000-0000-000093200000}"/>
    <cellStyle name="Note 2 2 11 2" xfId="13334" xr:uid="{38F4B3E5-0FAE-4925-BFA5-4A41EABE8CA8}"/>
    <cellStyle name="Note 2 2 11 3" xfId="21762" xr:uid="{B23D8477-8616-499E-9D3A-58BEC2582A8F}"/>
    <cellStyle name="Note 2 2 12" xfId="9116" xr:uid="{A0309177-E1B2-4CD1-A6BF-070A452DDA77}"/>
    <cellStyle name="Note 2 2 13" xfId="17545" xr:uid="{37E1F02C-42D2-4AA5-929D-1D64C85483F0}"/>
    <cellStyle name="Note 2 2 2" xfId="547" xr:uid="{00000000-0005-0000-0000-000094200000}"/>
    <cellStyle name="Note 2 2 2 10" xfId="4906" xr:uid="{00000000-0005-0000-0000-000095200000}"/>
    <cellStyle name="Note 2 2 2 10 2" xfId="13335" xr:uid="{5A137D03-EA30-4C29-AAFB-32298971CD2C}"/>
    <cellStyle name="Note 2 2 2 10 3" xfId="21763" xr:uid="{BB49F602-D552-49BD-933E-EF34E862C539}"/>
    <cellStyle name="Note 2 2 2 11" xfId="9117" xr:uid="{5D60B4D3-5BA1-4966-B58C-5BD01531A4C9}"/>
    <cellStyle name="Note 2 2 2 12" xfId="17546" xr:uid="{1819B154-8BFB-41FD-8EE3-355813DA7F21}"/>
    <cellStyle name="Note 2 2 2 2" xfId="548" xr:uid="{00000000-0005-0000-0000-000096200000}"/>
    <cellStyle name="Note 2 2 2 2 10" xfId="9118" xr:uid="{9789DFAF-5161-43AC-A80C-2F986DCA192F}"/>
    <cellStyle name="Note 2 2 2 2 11" xfId="17547" xr:uid="{969D60B9-A256-42E9-92A2-E4932565B8D1}"/>
    <cellStyle name="Note 2 2 2 2 2" xfId="1009" xr:uid="{00000000-0005-0000-0000-000097200000}"/>
    <cellStyle name="Note 2 2 2 2 2 2" xfId="3241" xr:uid="{00000000-0005-0000-0000-000098200000}"/>
    <cellStyle name="Note 2 2 2 2 2 2 2" xfId="7465" xr:uid="{00000000-0005-0000-0000-000099200000}"/>
    <cellStyle name="Note 2 2 2 2 2 2 2 2" xfId="15894" xr:uid="{C083C4B6-90B4-4D2F-881C-9C35834757E4}"/>
    <cellStyle name="Note 2 2 2 2 2 2 2 3" xfId="24322" xr:uid="{1085AEA6-B29C-4CDD-81DA-652D0235A9FD}"/>
    <cellStyle name="Note 2 2 2 2 2 2 3" xfId="11676" xr:uid="{C6B66796-89B4-4D85-A527-770679AF5581}"/>
    <cellStyle name="Note 2 2 2 2 2 2 4" xfId="20105" xr:uid="{9E64F430-02E9-4852-BC7F-976235E6413B}"/>
    <cellStyle name="Note 2 2 2 2 2 3" xfId="5320" xr:uid="{00000000-0005-0000-0000-00009A200000}"/>
    <cellStyle name="Note 2 2 2 2 2 3 2" xfId="13749" xr:uid="{5F69C1A9-DD5C-45AD-B52E-F487CC3B7B40}"/>
    <cellStyle name="Note 2 2 2 2 2 3 3" xfId="22177" xr:uid="{04833ED3-7358-45F0-8A29-05231A366085}"/>
    <cellStyle name="Note 2 2 2 2 2 4" xfId="9531" xr:uid="{6BB05910-10EA-4ECA-A3DC-02C6E33A37D1}"/>
    <cellStyle name="Note 2 2 2 2 2 5" xfId="17960" xr:uid="{F50FEC7E-79BD-483A-BF0A-4E662905EC4A}"/>
    <cellStyle name="Note 2 2 2 2 3" xfId="1424" xr:uid="{00000000-0005-0000-0000-00009B200000}"/>
    <cellStyle name="Note 2 2 2 2 3 2" xfId="3654" xr:uid="{00000000-0005-0000-0000-00009C200000}"/>
    <cellStyle name="Note 2 2 2 2 3 2 2" xfId="7878" xr:uid="{00000000-0005-0000-0000-00009D200000}"/>
    <cellStyle name="Note 2 2 2 2 3 2 2 2" xfId="16307" xr:uid="{D9DA9914-317A-491F-ACFB-086063A52EAB}"/>
    <cellStyle name="Note 2 2 2 2 3 2 2 3" xfId="24735" xr:uid="{EE7CFB95-2365-4B31-AAD9-F5A891D84E4D}"/>
    <cellStyle name="Note 2 2 2 2 3 2 3" xfId="12089" xr:uid="{AA105D40-E94F-45FC-9ED8-FA3517C34576}"/>
    <cellStyle name="Note 2 2 2 2 3 2 4" xfId="20518" xr:uid="{C2F67044-B263-4320-8A26-A26C849BFE8A}"/>
    <cellStyle name="Note 2 2 2 2 3 3" xfId="5733" xr:uid="{00000000-0005-0000-0000-00009E200000}"/>
    <cellStyle name="Note 2 2 2 2 3 3 2" xfId="14162" xr:uid="{23B66F22-C4BC-4CF0-A389-8F39A4BBCF15}"/>
    <cellStyle name="Note 2 2 2 2 3 3 3" xfId="22590" xr:uid="{68B394D8-686C-4681-9905-C6417A5C5FB9}"/>
    <cellStyle name="Note 2 2 2 2 3 4" xfId="9944" xr:uid="{FD400A76-1A71-4008-89E9-1CCD8676B658}"/>
    <cellStyle name="Note 2 2 2 2 3 5" xfId="18373" xr:uid="{85E4DEC2-2C50-4F78-8FB4-C64796AA795A}"/>
    <cellStyle name="Note 2 2 2 2 4" xfId="1838" xr:uid="{00000000-0005-0000-0000-00009F200000}"/>
    <cellStyle name="Note 2 2 2 2 4 2" xfId="4067" xr:uid="{00000000-0005-0000-0000-0000A0200000}"/>
    <cellStyle name="Note 2 2 2 2 4 2 2" xfId="8291" xr:uid="{00000000-0005-0000-0000-0000A1200000}"/>
    <cellStyle name="Note 2 2 2 2 4 2 2 2" xfId="16720" xr:uid="{85AEE070-F212-4A8F-BF96-3A2B8A3BC7C2}"/>
    <cellStyle name="Note 2 2 2 2 4 2 2 3" xfId="25148" xr:uid="{99BFDA6E-CED5-419D-83A6-92C73E01232A}"/>
    <cellStyle name="Note 2 2 2 2 4 2 3" xfId="12502" xr:uid="{29D9262B-0BBC-497F-8C53-CFA1FD2CB2F1}"/>
    <cellStyle name="Note 2 2 2 2 4 2 4" xfId="20931" xr:uid="{9DC18D85-B73B-4B43-BF74-137FE2E61967}"/>
    <cellStyle name="Note 2 2 2 2 4 3" xfId="6146" xr:uid="{00000000-0005-0000-0000-0000A2200000}"/>
    <cellStyle name="Note 2 2 2 2 4 3 2" xfId="14575" xr:uid="{92219CEA-F84E-419F-98C2-49A1B0210E05}"/>
    <cellStyle name="Note 2 2 2 2 4 3 3" xfId="23003" xr:uid="{FBE610FB-DB99-403F-AA29-B38449452A16}"/>
    <cellStyle name="Note 2 2 2 2 4 4" xfId="10357" xr:uid="{33BFE68D-AD22-4B7D-BCB0-05E5AF95329E}"/>
    <cellStyle name="Note 2 2 2 2 4 5" xfId="18786" xr:uid="{807FE92A-2177-485E-83A5-5703853DA32C}"/>
    <cellStyle name="Note 2 2 2 2 5" xfId="2251" xr:uid="{00000000-0005-0000-0000-0000A3200000}"/>
    <cellStyle name="Note 2 2 2 2 5 2" xfId="4480" xr:uid="{00000000-0005-0000-0000-0000A4200000}"/>
    <cellStyle name="Note 2 2 2 2 5 2 2" xfId="8704" xr:uid="{00000000-0005-0000-0000-0000A5200000}"/>
    <cellStyle name="Note 2 2 2 2 5 2 2 2" xfId="17133" xr:uid="{91436DDC-D79F-48CD-A675-6FD62AE3A326}"/>
    <cellStyle name="Note 2 2 2 2 5 2 2 3" xfId="25561" xr:uid="{7B04514F-02A2-487F-8695-103DF0EBFF2A}"/>
    <cellStyle name="Note 2 2 2 2 5 2 3" xfId="12915" xr:uid="{7C903B77-3EDE-4A83-BA71-8DE5DB28958A}"/>
    <cellStyle name="Note 2 2 2 2 5 2 4" xfId="21344" xr:uid="{A8C12A21-1EE0-404B-8726-414A65E9AFA5}"/>
    <cellStyle name="Note 2 2 2 2 5 3" xfId="6559" xr:uid="{00000000-0005-0000-0000-0000A6200000}"/>
    <cellStyle name="Note 2 2 2 2 5 3 2" xfId="14988" xr:uid="{0A619263-D203-4897-9BF6-1C7FAD0F0C94}"/>
    <cellStyle name="Note 2 2 2 2 5 3 3" xfId="23416" xr:uid="{954FA845-4003-4A88-9A23-363629ACF389}"/>
    <cellStyle name="Note 2 2 2 2 5 4" xfId="10770" xr:uid="{E01527B6-95E7-4D59-BC5A-550A98256169}"/>
    <cellStyle name="Note 2 2 2 2 5 5" xfId="19199" xr:uid="{DCC6214A-A38F-4EB1-991E-CB8A423FC183}"/>
    <cellStyle name="Note 2 2 2 2 6" xfId="2687" xr:uid="{00000000-0005-0000-0000-0000A7200000}"/>
    <cellStyle name="Note 2 2 2 2 6 2" xfId="6972" xr:uid="{00000000-0005-0000-0000-0000A8200000}"/>
    <cellStyle name="Note 2 2 2 2 6 2 2" xfId="15401" xr:uid="{E8C52821-F293-4878-9A05-2E9305AF0F1B}"/>
    <cellStyle name="Note 2 2 2 2 6 2 3" xfId="23829" xr:uid="{B30894B6-813A-445B-992A-616E97E696A7}"/>
    <cellStyle name="Note 2 2 2 2 6 3" xfId="11183" xr:uid="{B731CA7C-AFC0-4B11-BF90-75C01A4BFFE4}"/>
    <cellStyle name="Note 2 2 2 2 6 4" xfId="19612" xr:uid="{E092B565-A37D-48A2-A994-43AA2C501FCC}"/>
    <cellStyle name="Note 2 2 2 2 7" xfId="2746" xr:uid="{00000000-0005-0000-0000-0000A9200000}"/>
    <cellStyle name="Note 2 2 2 2 8" xfId="2827" xr:uid="{00000000-0005-0000-0000-0000AA200000}"/>
    <cellStyle name="Note 2 2 2 2 8 2" xfId="7052" xr:uid="{00000000-0005-0000-0000-0000AB200000}"/>
    <cellStyle name="Note 2 2 2 2 8 2 2" xfId="15481" xr:uid="{B1D39EF5-EC72-4DEB-A53B-8D5FF028A5E5}"/>
    <cellStyle name="Note 2 2 2 2 8 2 3" xfId="23909" xr:uid="{BB0ABFB1-F162-42ED-A726-C593206E96B8}"/>
    <cellStyle name="Note 2 2 2 2 8 3" xfId="11263" xr:uid="{817ACA97-A994-427E-B02B-060634B78996}"/>
    <cellStyle name="Note 2 2 2 2 8 4" xfId="19692" xr:uid="{7D300173-A86C-4E40-AE1A-68CBFF2AE7E5}"/>
    <cellStyle name="Note 2 2 2 2 9" xfId="4907" xr:uid="{00000000-0005-0000-0000-0000AC200000}"/>
    <cellStyle name="Note 2 2 2 2 9 2" xfId="13336" xr:uid="{C5227544-3660-4FBC-B967-0010DA5E0ACD}"/>
    <cellStyle name="Note 2 2 2 2 9 3" xfId="21764" xr:uid="{C6158331-D1AE-43D1-8B63-ADF74D383DDC}"/>
    <cellStyle name="Note 2 2 2 3" xfId="1008" xr:uid="{00000000-0005-0000-0000-0000AD200000}"/>
    <cellStyle name="Note 2 2 2 3 2" xfId="3240" xr:uid="{00000000-0005-0000-0000-0000AE200000}"/>
    <cellStyle name="Note 2 2 2 3 2 2" xfId="7464" xr:uid="{00000000-0005-0000-0000-0000AF200000}"/>
    <cellStyle name="Note 2 2 2 3 2 2 2" xfId="15893" xr:uid="{3CD003D1-5CC0-4B25-8AD5-43F9C6FB1F23}"/>
    <cellStyle name="Note 2 2 2 3 2 2 3" xfId="24321" xr:uid="{608E1B46-6619-4D83-B03D-A70D2E3BCE66}"/>
    <cellStyle name="Note 2 2 2 3 2 3" xfId="11675" xr:uid="{38A5FC7B-BAA5-4D37-B765-581BDDD626B8}"/>
    <cellStyle name="Note 2 2 2 3 2 4" xfId="20104" xr:uid="{05087E46-BBB5-4068-A4D0-A1F6EB5FC4D5}"/>
    <cellStyle name="Note 2 2 2 3 3" xfId="5319" xr:uid="{00000000-0005-0000-0000-0000B0200000}"/>
    <cellStyle name="Note 2 2 2 3 3 2" xfId="13748" xr:uid="{4801E0D8-5A86-43F7-903A-C6B35774DD1B}"/>
    <cellStyle name="Note 2 2 2 3 3 3" xfId="22176" xr:uid="{4F009F00-8B6B-408E-A763-0004A5382DF2}"/>
    <cellStyle name="Note 2 2 2 3 4" xfId="9530" xr:uid="{38762A22-AB3B-4458-8BCF-F7245166D556}"/>
    <cellStyle name="Note 2 2 2 3 5" xfId="17959" xr:uid="{76643B70-9995-47C9-9AEE-3CE59A81C409}"/>
    <cellStyle name="Note 2 2 2 4" xfId="1423" xr:uid="{00000000-0005-0000-0000-0000B1200000}"/>
    <cellStyle name="Note 2 2 2 4 2" xfId="3653" xr:uid="{00000000-0005-0000-0000-0000B2200000}"/>
    <cellStyle name="Note 2 2 2 4 2 2" xfId="7877" xr:uid="{00000000-0005-0000-0000-0000B3200000}"/>
    <cellStyle name="Note 2 2 2 4 2 2 2" xfId="16306" xr:uid="{5C3FC0D1-A58F-42D2-B3EB-98CA936D0503}"/>
    <cellStyle name="Note 2 2 2 4 2 2 3" xfId="24734" xr:uid="{0414F9CB-A875-427B-9B30-88AD1D1E982B}"/>
    <cellStyle name="Note 2 2 2 4 2 3" xfId="12088" xr:uid="{8C72CC06-5FCD-4C69-9DD1-8AFF467B5520}"/>
    <cellStyle name="Note 2 2 2 4 2 4" xfId="20517" xr:uid="{96609135-C26E-40E4-A050-54B4FD9A97D3}"/>
    <cellStyle name="Note 2 2 2 4 3" xfId="5732" xr:uid="{00000000-0005-0000-0000-0000B4200000}"/>
    <cellStyle name="Note 2 2 2 4 3 2" xfId="14161" xr:uid="{F325FC89-4CA6-4EBC-ADF2-E07AC8332E1E}"/>
    <cellStyle name="Note 2 2 2 4 3 3" xfId="22589" xr:uid="{8011A363-A7D4-4DFA-B125-CAA431EA3462}"/>
    <cellStyle name="Note 2 2 2 4 4" xfId="9943" xr:uid="{7BAD5E0E-2D71-45EF-923C-FE7E75E4E2DF}"/>
    <cellStyle name="Note 2 2 2 4 5" xfId="18372" xr:uid="{5E24153D-5A1C-44CF-9C6D-16E424244A8C}"/>
    <cellStyle name="Note 2 2 2 5" xfId="1837" xr:uid="{00000000-0005-0000-0000-0000B5200000}"/>
    <cellStyle name="Note 2 2 2 5 2" xfId="4066" xr:uid="{00000000-0005-0000-0000-0000B6200000}"/>
    <cellStyle name="Note 2 2 2 5 2 2" xfId="8290" xr:uid="{00000000-0005-0000-0000-0000B7200000}"/>
    <cellStyle name="Note 2 2 2 5 2 2 2" xfId="16719" xr:uid="{8F4E55B7-DC68-4D4B-9AA2-3A3DA4C6CFFE}"/>
    <cellStyle name="Note 2 2 2 5 2 2 3" xfId="25147" xr:uid="{E567DC6F-1466-42FE-8E09-5B193808C69B}"/>
    <cellStyle name="Note 2 2 2 5 2 3" xfId="12501" xr:uid="{0F508AFA-8D62-4296-BBF9-A761F4303B43}"/>
    <cellStyle name="Note 2 2 2 5 2 4" xfId="20930" xr:uid="{928452E5-58AB-4B73-825F-2D6AFB82D8C1}"/>
    <cellStyle name="Note 2 2 2 5 3" xfId="6145" xr:uid="{00000000-0005-0000-0000-0000B8200000}"/>
    <cellStyle name="Note 2 2 2 5 3 2" xfId="14574" xr:uid="{D6E9B08F-B076-4C74-AAC8-41FC174861E9}"/>
    <cellStyle name="Note 2 2 2 5 3 3" xfId="23002" xr:uid="{920A0B26-17BB-4304-A23D-62EA903BE3FB}"/>
    <cellStyle name="Note 2 2 2 5 4" xfId="10356" xr:uid="{49FFF9C9-52F8-4859-BFEC-7D5C1323ED21}"/>
    <cellStyle name="Note 2 2 2 5 5" xfId="18785" xr:uid="{4D0668F6-933E-44FE-8B9F-0A501E28EC3E}"/>
    <cellStyle name="Note 2 2 2 6" xfId="2250" xr:uid="{00000000-0005-0000-0000-0000B9200000}"/>
    <cellStyle name="Note 2 2 2 6 2" xfId="4479" xr:uid="{00000000-0005-0000-0000-0000BA200000}"/>
    <cellStyle name="Note 2 2 2 6 2 2" xfId="8703" xr:uid="{00000000-0005-0000-0000-0000BB200000}"/>
    <cellStyle name="Note 2 2 2 6 2 2 2" xfId="17132" xr:uid="{608FAEAF-49F5-40F6-B3D6-63C001F2AD44}"/>
    <cellStyle name="Note 2 2 2 6 2 2 3" xfId="25560" xr:uid="{99F1FDDD-3467-4B59-94C8-703D2A8CB19C}"/>
    <cellStyle name="Note 2 2 2 6 2 3" xfId="12914" xr:uid="{B4F210AA-5427-459E-9F8D-838FC3230B2D}"/>
    <cellStyle name="Note 2 2 2 6 2 4" xfId="21343" xr:uid="{A77946C9-C818-4A7F-9170-25E7F73F8D37}"/>
    <cellStyle name="Note 2 2 2 6 3" xfId="6558" xr:uid="{00000000-0005-0000-0000-0000BC200000}"/>
    <cellStyle name="Note 2 2 2 6 3 2" xfId="14987" xr:uid="{43C69210-3416-4669-9548-88EE9AECBF8E}"/>
    <cellStyle name="Note 2 2 2 6 3 3" xfId="23415" xr:uid="{8E36B2B9-28DC-4B82-8350-166DC64EC13F}"/>
    <cellStyle name="Note 2 2 2 6 4" xfId="10769" xr:uid="{CD8DEE79-216C-409F-8C32-4146C154AD44}"/>
    <cellStyle name="Note 2 2 2 6 5" xfId="19198" xr:uid="{D6B5BC17-6C81-4EFB-A656-3BE4EF35D2A1}"/>
    <cellStyle name="Note 2 2 2 7" xfId="2686" xr:uid="{00000000-0005-0000-0000-0000BD200000}"/>
    <cellStyle name="Note 2 2 2 7 2" xfId="6971" xr:uid="{00000000-0005-0000-0000-0000BE200000}"/>
    <cellStyle name="Note 2 2 2 7 2 2" xfId="15400" xr:uid="{C08327EC-BFD0-48DC-B9FD-158D2A2C3731}"/>
    <cellStyle name="Note 2 2 2 7 2 3" xfId="23828" xr:uid="{69D213A8-1D60-4CF4-AD91-111834F2BA18}"/>
    <cellStyle name="Note 2 2 2 7 3" xfId="11182" xr:uid="{3305AC81-2991-4DAC-A950-EDC07898741D}"/>
    <cellStyle name="Note 2 2 2 7 4" xfId="19611" xr:uid="{09569F8B-BCE1-49E9-96C8-A0673E84E989}"/>
    <cellStyle name="Note 2 2 2 8" xfId="2745" xr:uid="{00000000-0005-0000-0000-0000BF200000}"/>
    <cellStyle name="Note 2 2 2 9" xfId="2826" xr:uid="{00000000-0005-0000-0000-0000C0200000}"/>
    <cellStyle name="Note 2 2 2 9 2" xfId="7051" xr:uid="{00000000-0005-0000-0000-0000C1200000}"/>
    <cellStyle name="Note 2 2 2 9 2 2" xfId="15480" xr:uid="{5994A6DE-5C5A-4777-8092-1C562D4EABA6}"/>
    <cellStyle name="Note 2 2 2 9 2 3" xfId="23908" xr:uid="{2ED03107-56E7-4D81-BCAC-603B971C3BB5}"/>
    <cellStyle name="Note 2 2 2 9 3" xfId="11262" xr:uid="{28488C8F-0BFF-4352-9B15-1AD39454A87C}"/>
    <cellStyle name="Note 2 2 2 9 4" xfId="19691" xr:uid="{B7B32B88-704D-4998-9414-82D90C135D64}"/>
    <cellStyle name="Note 2 2 3" xfId="549" xr:uid="{00000000-0005-0000-0000-0000C2200000}"/>
    <cellStyle name="Note 2 2 3 10" xfId="9119" xr:uid="{E363FAF1-15D6-4F65-9012-78DC8AD3A112}"/>
    <cellStyle name="Note 2 2 3 11" xfId="17548" xr:uid="{D5F798DB-FAB5-4497-94A0-067C8343599C}"/>
    <cellStyle name="Note 2 2 3 2" xfId="1010" xr:uid="{00000000-0005-0000-0000-0000C3200000}"/>
    <cellStyle name="Note 2 2 3 2 2" xfId="3242" xr:uid="{00000000-0005-0000-0000-0000C4200000}"/>
    <cellStyle name="Note 2 2 3 2 2 2" xfId="7466" xr:uid="{00000000-0005-0000-0000-0000C5200000}"/>
    <cellStyle name="Note 2 2 3 2 2 2 2" xfId="15895" xr:uid="{F526BBBC-FEA2-4A45-B67F-43D4849C7D59}"/>
    <cellStyle name="Note 2 2 3 2 2 2 3" xfId="24323" xr:uid="{63B31AAF-EE55-4FEF-B678-1CC19DACA79D}"/>
    <cellStyle name="Note 2 2 3 2 2 3" xfId="11677" xr:uid="{5855C09C-4027-4CA4-B0CC-EB3918BA672B}"/>
    <cellStyle name="Note 2 2 3 2 2 4" xfId="20106" xr:uid="{AC1916BB-6C7E-403B-BB8B-A1A1210BF93E}"/>
    <cellStyle name="Note 2 2 3 2 3" xfId="5321" xr:uid="{00000000-0005-0000-0000-0000C6200000}"/>
    <cellStyle name="Note 2 2 3 2 3 2" xfId="13750" xr:uid="{A68C89A9-6C9C-48B5-A027-DBB449FD5FD0}"/>
    <cellStyle name="Note 2 2 3 2 3 3" xfId="22178" xr:uid="{85899125-E4C8-44B1-8AEA-A3D8A1FB6375}"/>
    <cellStyle name="Note 2 2 3 2 4" xfId="9532" xr:uid="{E55A6E13-21B9-4BE5-B871-80DB5A08DABE}"/>
    <cellStyle name="Note 2 2 3 2 5" xfId="17961" xr:uid="{0BC6DF1F-1FB9-4F79-A5E5-358816D649D3}"/>
    <cellStyle name="Note 2 2 3 3" xfId="1425" xr:uid="{00000000-0005-0000-0000-0000C7200000}"/>
    <cellStyle name="Note 2 2 3 3 2" xfId="3655" xr:uid="{00000000-0005-0000-0000-0000C8200000}"/>
    <cellStyle name="Note 2 2 3 3 2 2" xfId="7879" xr:uid="{00000000-0005-0000-0000-0000C9200000}"/>
    <cellStyle name="Note 2 2 3 3 2 2 2" xfId="16308" xr:uid="{6229CE84-644F-4B91-B269-484718924371}"/>
    <cellStyle name="Note 2 2 3 3 2 2 3" xfId="24736" xr:uid="{032AA3FE-5B9F-4D74-86CB-B96041181199}"/>
    <cellStyle name="Note 2 2 3 3 2 3" xfId="12090" xr:uid="{8DF343DE-0F20-4288-B7BE-09CB847A96AD}"/>
    <cellStyle name="Note 2 2 3 3 2 4" xfId="20519" xr:uid="{1CE66B42-7766-4918-84BF-E27CCB5A5E30}"/>
    <cellStyle name="Note 2 2 3 3 3" xfId="5734" xr:uid="{00000000-0005-0000-0000-0000CA200000}"/>
    <cellStyle name="Note 2 2 3 3 3 2" xfId="14163" xr:uid="{4E231399-1085-4457-9AF7-B44D561E7631}"/>
    <cellStyle name="Note 2 2 3 3 3 3" xfId="22591" xr:uid="{DEE48CF2-9E79-48C7-A9A1-DDEBD5930D0E}"/>
    <cellStyle name="Note 2 2 3 3 4" xfId="9945" xr:uid="{818FD8E1-DEA6-4811-BFB8-B705F14DF7D7}"/>
    <cellStyle name="Note 2 2 3 3 5" xfId="18374" xr:uid="{7338C21E-8EE0-4E7E-9404-6A23D9F272A6}"/>
    <cellStyle name="Note 2 2 3 4" xfId="1839" xr:uid="{00000000-0005-0000-0000-0000CB200000}"/>
    <cellStyle name="Note 2 2 3 4 2" xfId="4068" xr:uid="{00000000-0005-0000-0000-0000CC200000}"/>
    <cellStyle name="Note 2 2 3 4 2 2" xfId="8292" xr:uid="{00000000-0005-0000-0000-0000CD200000}"/>
    <cellStyle name="Note 2 2 3 4 2 2 2" xfId="16721" xr:uid="{5452ECB3-4B72-4B8C-B535-BDAAD57F4345}"/>
    <cellStyle name="Note 2 2 3 4 2 2 3" xfId="25149" xr:uid="{A808F8CD-0AD0-4618-B30A-6FD20B2A99E2}"/>
    <cellStyle name="Note 2 2 3 4 2 3" xfId="12503" xr:uid="{BA855901-2865-4E16-89E4-0D6161B5B761}"/>
    <cellStyle name="Note 2 2 3 4 2 4" xfId="20932" xr:uid="{45EE9CF7-C938-4233-B54E-FCB90F07F692}"/>
    <cellStyle name="Note 2 2 3 4 3" xfId="6147" xr:uid="{00000000-0005-0000-0000-0000CE200000}"/>
    <cellStyle name="Note 2 2 3 4 3 2" xfId="14576" xr:uid="{AF19BFAB-C361-44DF-95CA-66DEB9B454BF}"/>
    <cellStyle name="Note 2 2 3 4 3 3" xfId="23004" xr:uid="{58080502-82A9-4B76-90EE-8CCDD91D8FBA}"/>
    <cellStyle name="Note 2 2 3 4 4" xfId="10358" xr:uid="{E99E90EF-EACE-45A9-98D5-A85D3E9449E8}"/>
    <cellStyle name="Note 2 2 3 4 5" xfId="18787" xr:uid="{7F7CE8DF-77E8-43C1-978D-7814E783613A}"/>
    <cellStyle name="Note 2 2 3 5" xfId="2252" xr:uid="{00000000-0005-0000-0000-0000CF200000}"/>
    <cellStyle name="Note 2 2 3 5 2" xfId="4481" xr:uid="{00000000-0005-0000-0000-0000D0200000}"/>
    <cellStyle name="Note 2 2 3 5 2 2" xfId="8705" xr:uid="{00000000-0005-0000-0000-0000D1200000}"/>
    <cellStyle name="Note 2 2 3 5 2 2 2" xfId="17134" xr:uid="{185214BF-8246-4E97-8D11-7179A4057CF2}"/>
    <cellStyle name="Note 2 2 3 5 2 2 3" xfId="25562" xr:uid="{A7F54524-C184-4B4A-B59E-C29A12CD5A57}"/>
    <cellStyle name="Note 2 2 3 5 2 3" xfId="12916" xr:uid="{451F904C-53EE-44BA-8FD3-3412CCDD81E3}"/>
    <cellStyle name="Note 2 2 3 5 2 4" xfId="21345" xr:uid="{1692FE0A-4F5A-4725-80B5-68F51767C2AE}"/>
    <cellStyle name="Note 2 2 3 5 3" xfId="6560" xr:uid="{00000000-0005-0000-0000-0000D2200000}"/>
    <cellStyle name="Note 2 2 3 5 3 2" xfId="14989" xr:uid="{E367F625-7F00-4C6D-B5F5-35C909F24E85}"/>
    <cellStyle name="Note 2 2 3 5 3 3" xfId="23417" xr:uid="{9C0F4660-4C9E-41B9-A7FE-5341C65C5847}"/>
    <cellStyle name="Note 2 2 3 5 4" xfId="10771" xr:uid="{3D18DE18-2605-490B-85B1-11ADBEFA2A33}"/>
    <cellStyle name="Note 2 2 3 5 5" xfId="19200" xr:uid="{996400A2-5A1E-4680-9BE0-0A4843CC73E4}"/>
    <cellStyle name="Note 2 2 3 6" xfId="2688" xr:uid="{00000000-0005-0000-0000-0000D3200000}"/>
    <cellStyle name="Note 2 2 3 6 2" xfId="6973" xr:uid="{00000000-0005-0000-0000-0000D4200000}"/>
    <cellStyle name="Note 2 2 3 6 2 2" xfId="15402" xr:uid="{FA1D169C-FE83-4FBC-A1C8-63C1E4D005E5}"/>
    <cellStyle name="Note 2 2 3 6 2 3" xfId="23830" xr:uid="{67B73074-10B4-45D2-A108-4AFBACA476AF}"/>
    <cellStyle name="Note 2 2 3 6 3" xfId="11184" xr:uid="{A2548B15-1A75-4389-BE6C-5AF3E558EBBE}"/>
    <cellStyle name="Note 2 2 3 6 4" xfId="19613" xr:uid="{A6B29F04-599E-4B8A-8046-83BB34AA53E4}"/>
    <cellStyle name="Note 2 2 3 7" xfId="2747" xr:uid="{00000000-0005-0000-0000-0000D5200000}"/>
    <cellStyle name="Note 2 2 3 8" xfId="2828" xr:uid="{00000000-0005-0000-0000-0000D6200000}"/>
    <cellStyle name="Note 2 2 3 8 2" xfId="7053" xr:uid="{00000000-0005-0000-0000-0000D7200000}"/>
    <cellStyle name="Note 2 2 3 8 2 2" xfId="15482" xr:uid="{7E6CAE7D-CC63-40C8-A002-C569259CB1DA}"/>
    <cellStyle name="Note 2 2 3 8 2 3" xfId="23910" xr:uid="{30FEB12E-E404-4A15-9232-55C70CC202CD}"/>
    <cellStyle name="Note 2 2 3 8 3" xfId="11264" xr:uid="{F6CC8943-E143-4E2E-818D-A1FBBCA17E88}"/>
    <cellStyle name="Note 2 2 3 8 4" xfId="19693" xr:uid="{EEEDA26F-6486-4EDC-8FFA-BAB66808B083}"/>
    <cellStyle name="Note 2 2 3 9" xfId="4908" xr:uid="{00000000-0005-0000-0000-0000D8200000}"/>
    <cellStyle name="Note 2 2 3 9 2" xfId="13337" xr:uid="{7AC1A15E-6C82-4423-825A-8CBE968E5F30}"/>
    <cellStyle name="Note 2 2 3 9 3" xfId="21765" xr:uid="{EDB555A9-D735-4BF5-AA31-0032D2072489}"/>
    <cellStyle name="Note 2 2 4" xfId="1007" xr:uid="{00000000-0005-0000-0000-0000D9200000}"/>
    <cellStyle name="Note 2 2 4 2" xfId="3239" xr:uid="{00000000-0005-0000-0000-0000DA200000}"/>
    <cellStyle name="Note 2 2 4 2 2" xfId="7463" xr:uid="{00000000-0005-0000-0000-0000DB200000}"/>
    <cellStyle name="Note 2 2 4 2 2 2" xfId="15892" xr:uid="{3C9C3EF7-F7A6-408B-8B4C-EA179EE83C06}"/>
    <cellStyle name="Note 2 2 4 2 2 3" xfId="24320" xr:uid="{2534D845-E36A-4E7B-BB8F-AC6230D6EA57}"/>
    <cellStyle name="Note 2 2 4 2 3" xfId="11674" xr:uid="{924BD163-C574-4F4B-840C-CD8C96E5C61E}"/>
    <cellStyle name="Note 2 2 4 2 4" xfId="20103" xr:uid="{68C551FF-4AF4-4DAE-83F6-A7E8EFE62E71}"/>
    <cellStyle name="Note 2 2 4 3" xfId="5318" xr:uid="{00000000-0005-0000-0000-0000DC200000}"/>
    <cellStyle name="Note 2 2 4 3 2" xfId="13747" xr:uid="{1D47F956-E2B2-4F32-B971-C7966CD2BC5F}"/>
    <cellStyle name="Note 2 2 4 3 3" xfId="22175" xr:uid="{36464ECD-7045-4E62-807F-30A844C3D7FE}"/>
    <cellStyle name="Note 2 2 4 4" xfId="9529" xr:uid="{4E8F8362-5530-4A65-A2A9-34A1D484486B}"/>
    <cellStyle name="Note 2 2 4 5" xfId="17958" xr:uid="{F4371636-8391-4253-A451-BF47EA79AB7A}"/>
    <cellStyle name="Note 2 2 5" xfId="1422" xr:uid="{00000000-0005-0000-0000-0000DD200000}"/>
    <cellStyle name="Note 2 2 5 2" xfId="3652" xr:uid="{00000000-0005-0000-0000-0000DE200000}"/>
    <cellStyle name="Note 2 2 5 2 2" xfId="7876" xr:uid="{00000000-0005-0000-0000-0000DF200000}"/>
    <cellStyle name="Note 2 2 5 2 2 2" xfId="16305" xr:uid="{0CF3CC4B-DDF9-4DDD-8CEC-4A5CFA1F8C1F}"/>
    <cellStyle name="Note 2 2 5 2 2 3" xfId="24733" xr:uid="{7FAA3857-2EED-421B-BD7A-B943A7560BE3}"/>
    <cellStyle name="Note 2 2 5 2 3" xfId="12087" xr:uid="{4E04D4D7-59BF-475C-83E1-4605F592FBBE}"/>
    <cellStyle name="Note 2 2 5 2 4" xfId="20516" xr:uid="{5487D0FD-4D5B-43E8-96DA-BB91B17B8AEA}"/>
    <cellStyle name="Note 2 2 5 3" xfId="5731" xr:uid="{00000000-0005-0000-0000-0000E0200000}"/>
    <cellStyle name="Note 2 2 5 3 2" xfId="14160" xr:uid="{A9E23B15-EB48-4C23-83E0-30017942E31A}"/>
    <cellStyle name="Note 2 2 5 3 3" xfId="22588" xr:uid="{30299DD8-B3CC-4914-B445-EC2B6CABAD9B}"/>
    <cellStyle name="Note 2 2 5 4" xfId="9942" xr:uid="{EF5700B4-196D-4163-8952-D22481917D4A}"/>
    <cellStyle name="Note 2 2 5 5" xfId="18371" xr:uid="{4ED63F66-7139-47AE-8705-B345327DCCB9}"/>
    <cellStyle name="Note 2 2 6" xfId="1836" xr:uid="{00000000-0005-0000-0000-0000E1200000}"/>
    <cellStyle name="Note 2 2 6 2" xfId="4065" xr:uid="{00000000-0005-0000-0000-0000E2200000}"/>
    <cellStyle name="Note 2 2 6 2 2" xfId="8289" xr:uid="{00000000-0005-0000-0000-0000E3200000}"/>
    <cellStyle name="Note 2 2 6 2 2 2" xfId="16718" xr:uid="{36B166AE-A3EE-4B02-986C-B41878A98F32}"/>
    <cellStyle name="Note 2 2 6 2 2 3" xfId="25146" xr:uid="{1E67C026-5B3C-49E6-9D9A-943B3B935BFC}"/>
    <cellStyle name="Note 2 2 6 2 3" xfId="12500" xr:uid="{C31DA05B-76D1-48C2-86FD-4DA1E6504C78}"/>
    <cellStyle name="Note 2 2 6 2 4" xfId="20929" xr:uid="{3B51929E-BBA0-4352-9CE6-35C67414E0BF}"/>
    <cellStyle name="Note 2 2 6 3" xfId="6144" xr:uid="{00000000-0005-0000-0000-0000E4200000}"/>
    <cellStyle name="Note 2 2 6 3 2" xfId="14573" xr:uid="{B55C796E-322C-4D6C-A2D6-88202C4689AC}"/>
    <cellStyle name="Note 2 2 6 3 3" xfId="23001" xr:uid="{CB0782CF-4810-4A88-B232-2FB446CB5870}"/>
    <cellStyle name="Note 2 2 6 4" xfId="10355" xr:uid="{EEA91D4C-D30D-4ED1-8F2E-8268D103006C}"/>
    <cellStyle name="Note 2 2 6 5" xfId="18784" xr:uid="{7537CF8B-3B88-45A1-8A8A-D2CFEE44DE27}"/>
    <cellStyle name="Note 2 2 7" xfId="2249" xr:uid="{00000000-0005-0000-0000-0000E5200000}"/>
    <cellStyle name="Note 2 2 7 2" xfId="4478" xr:uid="{00000000-0005-0000-0000-0000E6200000}"/>
    <cellStyle name="Note 2 2 7 2 2" xfId="8702" xr:uid="{00000000-0005-0000-0000-0000E7200000}"/>
    <cellStyle name="Note 2 2 7 2 2 2" xfId="17131" xr:uid="{D5C94000-28EA-4B31-8F60-E2D5239776A6}"/>
    <cellStyle name="Note 2 2 7 2 2 3" xfId="25559" xr:uid="{D665AC6C-2E42-4D73-8100-9CA4F5FA8212}"/>
    <cellStyle name="Note 2 2 7 2 3" xfId="12913" xr:uid="{B8F670A8-A3A0-4C7C-9266-1B20BB893AFF}"/>
    <cellStyle name="Note 2 2 7 2 4" xfId="21342" xr:uid="{8416E1FF-282A-4DF0-AD60-31A7239A92A5}"/>
    <cellStyle name="Note 2 2 7 3" xfId="6557" xr:uid="{00000000-0005-0000-0000-0000E8200000}"/>
    <cellStyle name="Note 2 2 7 3 2" xfId="14986" xr:uid="{AB456680-A630-4631-8459-2FAD5228B74F}"/>
    <cellStyle name="Note 2 2 7 3 3" xfId="23414" xr:uid="{FF589747-7BF6-416A-BBCC-0FE8364DC536}"/>
    <cellStyle name="Note 2 2 7 4" xfId="10768" xr:uid="{F2CFF320-A5D3-4017-9AA9-94752990921D}"/>
    <cellStyle name="Note 2 2 7 5" xfId="19197" xr:uid="{67A14B2C-FDA2-4CDA-BB86-5ACBA23067E2}"/>
    <cellStyle name="Note 2 2 8" xfId="2685" xr:uid="{00000000-0005-0000-0000-0000E9200000}"/>
    <cellStyle name="Note 2 2 8 2" xfId="6970" xr:uid="{00000000-0005-0000-0000-0000EA200000}"/>
    <cellStyle name="Note 2 2 8 2 2" xfId="15399" xr:uid="{96BD76E4-55E8-4B6E-B2B1-EEA41DC2C05A}"/>
    <cellStyle name="Note 2 2 8 2 3" xfId="23827" xr:uid="{BBEE3044-1E47-4168-A4E0-B777A824098C}"/>
    <cellStyle name="Note 2 2 8 3" xfId="11181" xr:uid="{282701E5-AF71-4DDF-8077-38AB58DA7E49}"/>
    <cellStyle name="Note 2 2 8 4" xfId="19610" xr:uid="{4397115A-5269-48F8-A604-0F977BD5254B}"/>
    <cellStyle name="Note 2 2 9" xfId="2744" xr:uid="{00000000-0005-0000-0000-0000EB200000}"/>
    <cellStyle name="Note 2 3" xfId="550" xr:uid="{00000000-0005-0000-0000-0000EC200000}"/>
    <cellStyle name="Note 2 3 10" xfId="4909" xr:uid="{00000000-0005-0000-0000-0000ED200000}"/>
    <cellStyle name="Note 2 3 10 2" xfId="13338" xr:uid="{494FEBC1-443E-41A2-BE01-48DEDEFDC149}"/>
    <cellStyle name="Note 2 3 10 3" xfId="21766" xr:uid="{7575234D-1D9B-4FED-84F4-A54BA4F0BE15}"/>
    <cellStyle name="Note 2 3 11" xfId="9120" xr:uid="{21F5565D-3239-4CAE-A9FD-A93ADB9F8BD7}"/>
    <cellStyle name="Note 2 3 12" xfId="17549" xr:uid="{B370AF30-DF6D-4401-A907-55E8CEAA5655}"/>
    <cellStyle name="Note 2 3 2" xfId="551" xr:uid="{00000000-0005-0000-0000-0000EE200000}"/>
    <cellStyle name="Note 2 3 2 10" xfId="9121" xr:uid="{72F30C40-2447-48D9-B130-1368E0839737}"/>
    <cellStyle name="Note 2 3 2 11" xfId="17550" xr:uid="{4A3F384D-4668-4E50-A0A4-15E0DE6E0FF6}"/>
    <cellStyle name="Note 2 3 2 2" xfId="1012" xr:uid="{00000000-0005-0000-0000-0000EF200000}"/>
    <cellStyle name="Note 2 3 2 2 2" xfId="3244" xr:uid="{00000000-0005-0000-0000-0000F0200000}"/>
    <cellStyle name="Note 2 3 2 2 2 2" xfId="7468" xr:uid="{00000000-0005-0000-0000-0000F1200000}"/>
    <cellStyle name="Note 2 3 2 2 2 2 2" xfId="15897" xr:uid="{967E1016-EBEC-454F-8061-CEF14D3F5A6D}"/>
    <cellStyle name="Note 2 3 2 2 2 2 3" xfId="24325" xr:uid="{27509FA3-873D-4D96-98FE-3C59C594AC69}"/>
    <cellStyle name="Note 2 3 2 2 2 3" xfId="11679" xr:uid="{04C06F37-C41C-4F2B-A587-09BD510E24E9}"/>
    <cellStyle name="Note 2 3 2 2 2 4" xfId="20108" xr:uid="{7E639F49-B4CD-4438-B336-15A516A35335}"/>
    <cellStyle name="Note 2 3 2 2 3" xfId="5323" xr:uid="{00000000-0005-0000-0000-0000F2200000}"/>
    <cellStyle name="Note 2 3 2 2 3 2" xfId="13752" xr:uid="{5AE504C0-B8F7-4899-B4FC-B30B1FBDD4F1}"/>
    <cellStyle name="Note 2 3 2 2 3 3" xfId="22180" xr:uid="{259B44B4-B035-4A89-BA8B-DB0213777BD8}"/>
    <cellStyle name="Note 2 3 2 2 4" xfId="9534" xr:uid="{61073261-CF5E-4B53-8274-75837EB9140F}"/>
    <cellStyle name="Note 2 3 2 2 5" xfId="17963" xr:uid="{6DF5DA6C-B15B-4F2C-BEF2-E3834611740B}"/>
    <cellStyle name="Note 2 3 2 3" xfId="1427" xr:uid="{00000000-0005-0000-0000-0000F3200000}"/>
    <cellStyle name="Note 2 3 2 3 2" xfId="3657" xr:uid="{00000000-0005-0000-0000-0000F4200000}"/>
    <cellStyle name="Note 2 3 2 3 2 2" xfId="7881" xr:uid="{00000000-0005-0000-0000-0000F5200000}"/>
    <cellStyle name="Note 2 3 2 3 2 2 2" xfId="16310" xr:uid="{5F0C71F7-1F0F-4DE1-9B8F-D5E31FF96FF7}"/>
    <cellStyle name="Note 2 3 2 3 2 2 3" xfId="24738" xr:uid="{1DB22CEA-F6AD-4E70-862B-7A7DCAB1E408}"/>
    <cellStyle name="Note 2 3 2 3 2 3" xfId="12092" xr:uid="{A5C7D8D7-0F9F-4F48-B345-37C4B6AF323F}"/>
    <cellStyle name="Note 2 3 2 3 2 4" xfId="20521" xr:uid="{2670C9C7-057F-48C7-B87A-17AE52F2E04B}"/>
    <cellStyle name="Note 2 3 2 3 3" xfId="5736" xr:uid="{00000000-0005-0000-0000-0000F6200000}"/>
    <cellStyle name="Note 2 3 2 3 3 2" xfId="14165" xr:uid="{1BA4AE0F-F64B-4FF1-92CD-5662040A62D2}"/>
    <cellStyle name="Note 2 3 2 3 3 3" xfId="22593" xr:uid="{3D2CD2AC-6C86-4DE4-9007-78EDEBEBEFED}"/>
    <cellStyle name="Note 2 3 2 3 4" xfId="9947" xr:uid="{E2817544-C11F-4AE9-87B5-FB356002AB0F}"/>
    <cellStyle name="Note 2 3 2 3 5" xfId="18376" xr:uid="{63A144B2-5199-40E4-9770-AE9E2C6085FA}"/>
    <cellStyle name="Note 2 3 2 4" xfId="1841" xr:uid="{00000000-0005-0000-0000-0000F7200000}"/>
    <cellStyle name="Note 2 3 2 4 2" xfId="4070" xr:uid="{00000000-0005-0000-0000-0000F8200000}"/>
    <cellStyle name="Note 2 3 2 4 2 2" xfId="8294" xr:uid="{00000000-0005-0000-0000-0000F9200000}"/>
    <cellStyle name="Note 2 3 2 4 2 2 2" xfId="16723" xr:uid="{C1A5B1D4-B4D7-4A19-97A3-4DF846B52E48}"/>
    <cellStyle name="Note 2 3 2 4 2 2 3" xfId="25151" xr:uid="{542CD53D-901C-412B-A09F-8C881793AF43}"/>
    <cellStyle name="Note 2 3 2 4 2 3" xfId="12505" xr:uid="{9BDC080D-50FD-493E-907E-328744601D6A}"/>
    <cellStyle name="Note 2 3 2 4 2 4" xfId="20934" xr:uid="{9183E6FB-BF54-41F1-AAED-1CB50EF0FEA5}"/>
    <cellStyle name="Note 2 3 2 4 3" xfId="6149" xr:uid="{00000000-0005-0000-0000-0000FA200000}"/>
    <cellStyle name="Note 2 3 2 4 3 2" xfId="14578" xr:uid="{DAA4FF36-D793-456B-9939-28DC8115D81F}"/>
    <cellStyle name="Note 2 3 2 4 3 3" xfId="23006" xr:uid="{F641FBDB-F2EB-460D-A25E-A80D09203C7A}"/>
    <cellStyle name="Note 2 3 2 4 4" xfId="10360" xr:uid="{B9629FD0-8922-4E4B-92C6-A15CED5368D2}"/>
    <cellStyle name="Note 2 3 2 4 5" xfId="18789" xr:uid="{B0C6EB58-4A96-4A2E-A965-135B31DD3C1F}"/>
    <cellStyle name="Note 2 3 2 5" xfId="2254" xr:uid="{00000000-0005-0000-0000-0000FB200000}"/>
    <cellStyle name="Note 2 3 2 5 2" xfId="4483" xr:uid="{00000000-0005-0000-0000-0000FC200000}"/>
    <cellStyle name="Note 2 3 2 5 2 2" xfId="8707" xr:uid="{00000000-0005-0000-0000-0000FD200000}"/>
    <cellStyle name="Note 2 3 2 5 2 2 2" xfId="17136" xr:uid="{B13EF6F1-B387-4DA2-83F7-684BCE96931D}"/>
    <cellStyle name="Note 2 3 2 5 2 2 3" xfId="25564" xr:uid="{2774C612-EB1C-49D3-87F2-9973A22823A3}"/>
    <cellStyle name="Note 2 3 2 5 2 3" xfId="12918" xr:uid="{BBB23209-CB63-43A7-BCE9-F6D28F0CFDF4}"/>
    <cellStyle name="Note 2 3 2 5 2 4" xfId="21347" xr:uid="{3CFA4FD5-DC6D-46B4-9EA4-56872099FE0E}"/>
    <cellStyle name="Note 2 3 2 5 3" xfId="6562" xr:uid="{00000000-0005-0000-0000-0000FE200000}"/>
    <cellStyle name="Note 2 3 2 5 3 2" xfId="14991" xr:uid="{BB0B99ED-D928-4D0D-9F91-8A10C1A8EE4D}"/>
    <cellStyle name="Note 2 3 2 5 3 3" xfId="23419" xr:uid="{02D4E6E6-D619-46CA-9801-2403FC1EF2AB}"/>
    <cellStyle name="Note 2 3 2 5 4" xfId="10773" xr:uid="{3FEBBA5A-B4C1-41FA-A03A-EB8177F87226}"/>
    <cellStyle name="Note 2 3 2 5 5" xfId="19202" xr:uid="{E67526DF-9D15-4E9C-8977-87C70B6CDA2A}"/>
    <cellStyle name="Note 2 3 2 6" xfId="2690" xr:uid="{00000000-0005-0000-0000-0000FF200000}"/>
    <cellStyle name="Note 2 3 2 6 2" xfId="6975" xr:uid="{00000000-0005-0000-0000-000000210000}"/>
    <cellStyle name="Note 2 3 2 6 2 2" xfId="15404" xr:uid="{1AB1B192-B70D-4AD4-99AF-29E15BDD7694}"/>
    <cellStyle name="Note 2 3 2 6 2 3" xfId="23832" xr:uid="{6F2B9363-2AF3-4DF4-9DF9-BFF502C4D30F}"/>
    <cellStyle name="Note 2 3 2 6 3" xfId="11186" xr:uid="{B76549D3-3032-4F39-8453-BA0929107617}"/>
    <cellStyle name="Note 2 3 2 6 4" xfId="19615" xr:uid="{374A93BF-8A1D-45FD-9CFF-901119ED2C66}"/>
    <cellStyle name="Note 2 3 2 7" xfId="2749" xr:uid="{00000000-0005-0000-0000-000001210000}"/>
    <cellStyle name="Note 2 3 2 8" xfId="2830" xr:uid="{00000000-0005-0000-0000-000002210000}"/>
    <cellStyle name="Note 2 3 2 8 2" xfId="7055" xr:uid="{00000000-0005-0000-0000-000003210000}"/>
    <cellStyle name="Note 2 3 2 8 2 2" xfId="15484" xr:uid="{8557C049-1CC9-4F11-AEAA-1F1CE29FF08F}"/>
    <cellStyle name="Note 2 3 2 8 2 3" xfId="23912" xr:uid="{6C08739B-7A19-4AD2-B5BE-5D0B5E1DC437}"/>
    <cellStyle name="Note 2 3 2 8 3" xfId="11266" xr:uid="{1DE67074-BB69-4CBC-AADB-18719696FB67}"/>
    <cellStyle name="Note 2 3 2 8 4" xfId="19695" xr:uid="{8131E79F-7CF3-4439-AC47-A973DB565CEA}"/>
    <cellStyle name="Note 2 3 2 9" xfId="4910" xr:uid="{00000000-0005-0000-0000-000004210000}"/>
    <cellStyle name="Note 2 3 2 9 2" xfId="13339" xr:uid="{71EAF22F-4544-4DA8-B6AA-2F81E64FB1E9}"/>
    <cellStyle name="Note 2 3 2 9 3" xfId="21767" xr:uid="{28A0CED3-25AF-4A74-AF26-7FB4B46FCC4D}"/>
    <cellStyle name="Note 2 3 3" xfId="1011" xr:uid="{00000000-0005-0000-0000-000005210000}"/>
    <cellStyle name="Note 2 3 3 2" xfId="3243" xr:uid="{00000000-0005-0000-0000-000006210000}"/>
    <cellStyle name="Note 2 3 3 2 2" xfId="7467" xr:uid="{00000000-0005-0000-0000-000007210000}"/>
    <cellStyle name="Note 2 3 3 2 2 2" xfId="15896" xr:uid="{BB8CDA4C-1E5A-487A-9255-D64E0916916F}"/>
    <cellStyle name="Note 2 3 3 2 2 3" xfId="24324" xr:uid="{EC15C4BE-0421-4F61-8A9E-C5CFE58ADFBF}"/>
    <cellStyle name="Note 2 3 3 2 3" xfId="11678" xr:uid="{619DD677-DF12-4891-966F-7EC5101E0386}"/>
    <cellStyle name="Note 2 3 3 2 4" xfId="20107" xr:uid="{5E2C1990-CC41-4259-BA6C-AFB1A864BB6C}"/>
    <cellStyle name="Note 2 3 3 3" xfId="5322" xr:uid="{00000000-0005-0000-0000-000008210000}"/>
    <cellStyle name="Note 2 3 3 3 2" xfId="13751" xr:uid="{65A6227C-3512-4327-97D0-968A34E9A9E1}"/>
    <cellStyle name="Note 2 3 3 3 3" xfId="22179" xr:uid="{AE7D6F76-50D8-4713-8588-D4ED024173A8}"/>
    <cellStyle name="Note 2 3 3 4" xfId="9533" xr:uid="{DC06078F-ADD9-4DCB-9098-C98477BE218F}"/>
    <cellStyle name="Note 2 3 3 5" xfId="17962" xr:uid="{06A153A3-3F65-4A9A-92E1-31D6A554F9B2}"/>
    <cellStyle name="Note 2 3 4" xfId="1426" xr:uid="{00000000-0005-0000-0000-000009210000}"/>
    <cellStyle name="Note 2 3 4 2" xfId="3656" xr:uid="{00000000-0005-0000-0000-00000A210000}"/>
    <cellStyle name="Note 2 3 4 2 2" xfId="7880" xr:uid="{00000000-0005-0000-0000-00000B210000}"/>
    <cellStyle name="Note 2 3 4 2 2 2" xfId="16309" xr:uid="{AD47D38C-50D1-4165-B4C4-35D205C6E52A}"/>
    <cellStyle name="Note 2 3 4 2 2 3" xfId="24737" xr:uid="{F17C34AC-264D-4C90-86B2-667FDD5CE718}"/>
    <cellStyle name="Note 2 3 4 2 3" xfId="12091" xr:uid="{844EDBB2-AFC1-4D26-AC56-C39B795A375F}"/>
    <cellStyle name="Note 2 3 4 2 4" xfId="20520" xr:uid="{48A38CBC-BF3A-4AD9-B42A-98DE5D134EA7}"/>
    <cellStyle name="Note 2 3 4 3" xfId="5735" xr:uid="{00000000-0005-0000-0000-00000C210000}"/>
    <cellStyle name="Note 2 3 4 3 2" xfId="14164" xr:uid="{0A648E96-568E-40B3-BD84-080248441BD1}"/>
    <cellStyle name="Note 2 3 4 3 3" xfId="22592" xr:uid="{066BE805-0F5C-42DC-A8E7-A1471C7F206D}"/>
    <cellStyle name="Note 2 3 4 4" xfId="9946" xr:uid="{507BB435-7D81-42BD-971F-8C680BD07142}"/>
    <cellStyle name="Note 2 3 4 5" xfId="18375" xr:uid="{D7C6124F-B4B6-4CC3-9793-4E631AE1B59C}"/>
    <cellStyle name="Note 2 3 5" xfId="1840" xr:uid="{00000000-0005-0000-0000-00000D210000}"/>
    <cellStyle name="Note 2 3 5 2" xfId="4069" xr:uid="{00000000-0005-0000-0000-00000E210000}"/>
    <cellStyle name="Note 2 3 5 2 2" xfId="8293" xr:uid="{00000000-0005-0000-0000-00000F210000}"/>
    <cellStyle name="Note 2 3 5 2 2 2" xfId="16722" xr:uid="{024FEF84-68D1-4E38-BB55-9099A2AC6A97}"/>
    <cellStyle name="Note 2 3 5 2 2 3" xfId="25150" xr:uid="{51F291DC-4350-4850-8049-48CDF2FF543B}"/>
    <cellStyle name="Note 2 3 5 2 3" xfId="12504" xr:uid="{DFB13F6F-E843-4D9E-B4AA-399A0F3EE1F7}"/>
    <cellStyle name="Note 2 3 5 2 4" xfId="20933" xr:uid="{FE4F6403-CF10-4231-89FC-EE92FE690D0F}"/>
    <cellStyle name="Note 2 3 5 3" xfId="6148" xr:uid="{00000000-0005-0000-0000-000010210000}"/>
    <cellStyle name="Note 2 3 5 3 2" xfId="14577" xr:uid="{3EF3930E-66F9-447F-9A90-685BD5409B58}"/>
    <cellStyle name="Note 2 3 5 3 3" xfId="23005" xr:uid="{40305D2A-669B-43EA-9015-B9C481AE1580}"/>
    <cellStyle name="Note 2 3 5 4" xfId="10359" xr:uid="{5FDE3C1A-6A92-4590-9835-32976A76DE54}"/>
    <cellStyle name="Note 2 3 5 5" xfId="18788" xr:uid="{A1432A78-1FF3-4B8E-B968-F639FAE96278}"/>
    <cellStyle name="Note 2 3 6" xfId="2253" xr:uid="{00000000-0005-0000-0000-000011210000}"/>
    <cellStyle name="Note 2 3 6 2" xfId="4482" xr:uid="{00000000-0005-0000-0000-000012210000}"/>
    <cellStyle name="Note 2 3 6 2 2" xfId="8706" xr:uid="{00000000-0005-0000-0000-000013210000}"/>
    <cellStyle name="Note 2 3 6 2 2 2" xfId="17135" xr:uid="{3B2C545F-F1C5-4D49-AF0D-3E32F16BE315}"/>
    <cellStyle name="Note 2 3 6 2 2 3" xfId="25563" xr:uid="{0D7D0897-E94E-496B-8105-9E29F5193CA9}"/>
    <cellStyle name="Note 2 3 6 2 3" xfId="12917" xr:uid="{4B40AD00-873A-4DD2-99A6-FF9FA5E81161}"/>
    <cellStyle name="Note 2 3 6 2 4" xfId="21346" xr:uid="{E661796B-C468-4095-A81B-4E8E84CC97B1}"/>
    <cellStyle name="Note 2 3 6 3" xfId="6561" xr:uid="{00000000-0005-0000-0000-000014210000}"/>
    <cellStyle name="Note 2 3 6 3 2" xfId="14990" xr:uid="{4DBBD2EB-3624-4797-9624-E051E1FB61C9}"/>
    <cellStyle name="Note 2 3 6 3 3" xfId="23418" xr:uid="{017845B6-7E96-4338-B432-0C5951F42CB4}"/>
    <cellStyle name="Note 2 3 6 4" xfId="10772" xr:uid="{A2691395-3197-4D2A-8459-B482139BC875}"/>
    <cellStyle name="Note 2 3 6 5" xfId="19201" xr:uid="{77D7A623-C846-4873-A7AD-37C2529C3466}"/>
    <cellStyle name="Note 2 3 7" xfId="2689" xr:uid="{00000000-0005-0000-0000-000015210000}"/>
    <cellStyle name="Note 2 3 7 2" xfId="6974" xr:uid="{00000000-0005-0000-0000-000016210000}"/>
    <cellStyle name="Note 2 3 7 2 2" xfId="15403" xr:uid="{985A859D-84E8-444D-ACB0-35077C7B438B}"/>
    <cellStyle name="Note 2 3 7 2 3" xfId="23831" xr:uid="{5BD6C6E6-6418-4D9F-84EA-7CE040C76EE4}"/>
    <cellStyle name="Note 2 3 7 3" xfId="11185" xr:uid="{4830B2D2-9624-4135-95D7-F6A6C7522787}"/>
    <cellStyle name="Note 2 3 7 4" xfId="19614" xr:uid="{16C0F468-5270-4EFF-A541-70FB013128BB}"/>
    <cellStyle name="Note 2 3 8" xfId="2748" xr:uid="{00000000-0005-0000-0000-000017210000}"/>
    <cellStyle name="Note 2 3 9" xfId="2829" xr:uid="{00000000-0005-0000-0000-000018210000}"/>
    <cellStyle name="Note 2 3 9 2" xfId="7054" xr:uid="{00000000-0005-0000-0000-000019210000}"/>
    <cellStyle name="Note 2 3 9 2 2" xfId="15483" xr:uid="{B3E8FB41-E72A-4741-8D7C-29F865692A80}"/>
    <cellStyle name="Note 2 3 9 2 3" xfId="23911" xr:uid="{79E5924B-F4F8-4FC9-9CB4-F399521030F4}"/>
    <cellStyle name="Note 2 3 9 3" xfId="11265" xr:uid="{8672E1BC-726F-489D-8BAA-1F0FB8F65222}"/>
    <cellStyle name="Note 2 3 9 4" xfId="19694" xr:uid="{662F4A40-C503-437F-B691-16DA9CAD6EED}"/>
    <cellStyle name="Note 2 4" xfId="552" xr:uid="{00000000-0005-0000-0000-00001A210000}"/>
    <cellStyle name="Note 2 4 10" xfId="9122" xr:uid="{2ED7C5A8-82B3-42E8-A296-8270BED23639}"/>
    <cellStyle name="Note 2 4 11" xfId="17551" xr:uid="{59B83624-ED88-42E3-8F94-0F30B41D5BD4}"/>
    <cellStyle name="Note 2 4 2" xfId="1013" xr:uid="{00000000-0005-0000-0000-00001B210000}"/>
    <cellStyle name="Note 2 4 2 2" xfId="3245" xr:uid="{00000000-0005-0000-0000-00001C210000}"/>
    <cellStyle name="Note 2 4 2 2 2" xfId="7469" xr:uid="{00000000-0005-0000-0000-00001D210000}"/>
    <cellStyle name="Note 2 4 2 2 2 2" xfId="15898" xr:uid="{F16604C2-67CE-4F95-A98F-6C4E2566A1D2}"/>
    <cellStyle name="Note 2 4 2 2 2 3" xfId="24326" xr:uid="{EDFDEC31-F626-4C8B-9265-218D998E9DB0}"/>
    <cellStyle name="Note 2 4 2 2 3" xfId="11680" xr:uid="{B2462905-D30D-4313-86B3-41E58D8EBF5F}"/>
    <cellStyle name="Note 2 4 2 2 4" xfId="20109" xr:uid="{41E3040F-7F38-4814-9809-33B075BE842F}"/>
    <cellStyle name="Note 2 4 2 3" xfId="5324" xr:uid="{00000000-0005-0000-0000-00001E210000}"/>
    <cellStyle name="Note 2 4 2 3 2" xfId="13753" xr:uid="{577CDA39-29FB-48AA-B076-39719182CBE6}"/>
    <cellStyle name="Note 2 4 2 3 3" xfId="22181" xr:uid="{0031E55F-2313-4D87-B331-08F0F28BDE64}"/>
    <cellStyle name="Note 2 4 2 4" xfId="9535" xr:uid="{B2F5D178-F913-4BDF-9731-3460D411A81D}"/>
    <cellStyle name="Note 2 4 2 5" xfId="17964" xr:uid="{4437BC2B-C0AE-43F9-AAB9-E0C5C38FBA8D}"/>
    <cellStyle name="Note 2 4 3" xfId="1428" xr:uid="{00000000-0005-0000-0000-00001F210000}"/>
    <cellStyle name="Note 2 4 3 2" xfId="3658" xr:uid="{00000000-0005-0000-0000-000020210000}"/>
    <cellStyle name="Note 2 4 3 2 2" xfId="7882" xr:uid="{00000000-0005-0000-0000-000021210000}"/>
    <cellStyle name="Note 2 4 3 2 2 2" xfId="16311" xr:uid="{1D1010DD-0DAE-4999-9E3E-669B1D73D3DD}"/>
    <cellStyle name="Note 2 4 3 2 2 3" xfId="24739" xr:uid="{F276241D-1D3F-48B2-9FCA-A5DCF4CCF118}"/>
    <cellStyle name="Note 2 4 3 2 3" xfId="12093" xr:uid="{7923E782-4C6F-47BD-9450-995BB32A2922}"/>
    <cellStyle name="Note 2 4 3 2 4" xfId="20522" xr:uid="{ADE97024-349A-48CC-AC92-27D3CE9445B8}"/>
    <cellStyle name="Note 2 4 3 3" xfId="5737" xr:uid="{00000000-0005-0000-0000-000022210000}"/>
    <cellStyle name="Note 2 4 3 3 2" xfId="14166" xr:uid="{073049CF-A2C9-4271-A9F0-E53DBDE37318}"/>
    <cellStyle name="Note 2 4 3 3 3" xfId="22594" xr:uid="{434E46FA-0CEB-4428-8C51-7BC63524B0C6}"/>
    <cellStyle name="Note 2 4 3 4" xfId="9948" xr:uid="{22ACD24B-E10B-4856-B224-A68B39105148}"/>
    <cellStyle name="Note 2 4 3 5" xfId="18377" xr:uid="{A4CE951E-BE45-4965-B1FE-AD81C2D2354A}"/>
    <cellStyle name="Note 2 4 4" xfId="1842" xr:uid="{00000000-0005-0000-0000-000023210000}"/>
    <cellStyle name="Note 2 4 4 2" xfId="4071" xr:uid="{00000000-0005-0000-0000-000024210000}"/>
    <cellStyle name="Note 2 4 4 2 2" xfId="8295" xr:uid="{00000000-0005-0000-0000-000025210000}"/>
    <cellStyle name="Note 2 4 4 2 2 2" xfId="16724" xr:uid="{5D0520B1-4118-4F2E-A418-70934214EA7A}"/>
    <cellStyle name="Note 2 4 4 2 2 3" xfId="25152" xr:uid="{917CBEA1-5508-476B-9CBC-E98B5B7ACF50}"/>
    <cellStyle name="Note 2 4 4 2 3" xfId="12506" xr:uid="{35771492-98BD-4729-9628-E97CFB0DC71E}"/>
    <cellStyle name="Note 2 4 4 2 4" xfId="20935" xr:uid="{8C7DAC63-1A4E-4055-9A9D-F98A0C308AB1}"/>
    <cellStyle name="Note 2 4 4 3" xfId="6150" xr:uid="{00000000-0005-0000-0000-000026210000}"/>
    <cellStyle name="Note 2 4 4 3 2" xfId="14579" xr:uid="{8DDAFE9E-6103-42DD-AAD7-C5FC53A86C59}"/>
    <cellStyle name="Note 2 4 4 3 3" xfId="23007" xr:uid="{624265C3-9416-49C7-8E82-F6E549EFB04B}"/>
    <cellStyle name="Note 2 4 4 4" xfId="10361" xr:uid="{19B24C7A-F4C9-4392-87FE-1BCEC3137329}"/>
    <cellStyle name="Note 2 4 4 5" xfId="18790" xr:uid="{53E64441-0559-460B-B573-FCA870426284}"/>
    <cellStyle name="Note 2 4 5" xfId="2255" xr:uid="{00000000-0005-0000-0000-000027210000}"/>
    <cellStyle name="Note 2 4 5 2" xfId="4484" xr:uid="{00000000-0005-0000-0000-000028210000}"/>
    <cellStyle name="Note 2 4 5 2 2" xfId="8708" xr:uid="{00000000-0005-0000-0000-000029210000}"/>
    <cellStyle name="Note 2 4 5 2 2 2" xfId="17137" xr:uid="{B01FE814-6BAB-411A-8D03-A73B4040CA4E}"/>
    <cellStyle name="Note 2 4 5 2 2 3" xfId="25565" xr:uid="{960DA5CC-A103-4A55-A840-168BAED4F68F}"/>
    <cellStyle name="Note 2 4 5 2 3" xfId="12919" xr:uid="{2FCCF5EE-B312-49BF-8634-6CD25B1652F6}"/>
    <cellStyle name="Note 2 4 5 2 4" xfId="21348" xr:uid="{26694B7A-D045-458F-A12B-9FDCC354EDB3}"/>
    <cellStyle name="Note 2 4 5 3" xfId="6563" xr:uid="{00000000-0005-0000-0000-00002A210000}"/>
    <cellStyle name="Note 2 4 5 3 2" xfId="14992" xr:uid="{EC83CE68-D96F-4294-9791-CB2ACCDC8752}"/>
    <cellStyle name="Note 2 4 5 3 3" xfId="23420" xr:uid="{AA97026D-4FE3-4223-BBB5-C8FA6FE0B74C}"/>
    <cellStyle name="Note 2 4 5 4" xfId="10774" xr:uid="{11F5E3DE-63A3-4FD4-BEC7-1ED09D22396A}"/>
    <cellStyle name="Note 2 4 5 5" xfId="19203" xr:uid="{34E2BB07-A8AA-40B8-9EAD-89E41D06AF9F}"/>
    <cellStyle name="Note 2 4 6" xfId="2691" xr:uid="{00000000-0005-0000-0000-00002B210000}"/>
    <cellStyle name="Note 2 4 6 2" xfId="6976" xr:uid="{00000000-0005-0000-0000-00002C210000}"/>
    <cellStyle name="Note 2 4 6 2 2" xfId="15405" xr:uid="{2C6AC191-A86B-48AE-B5BB-7475CF9B8284}"/>
    <cellStyle name="Note 2 4 6 2 3" xfId="23833" xr:uid="{F22A0A9E-4122-42DB-BBD4-CE80DEFFB991}"/>
    <cellStyle name="Note 2 4 6 3" xfId="11187" xr:uid="{2E137DC3-469F-4107-B053-0EE68A3F95A8}"/>
    <cellStyle name="Note 2 4 6 4" xfId="19616" xr:uid="{B330AAE7-F464-4A77-9376-E313D90332D9}"/>
    <cellStyle name="Note 2 4 7" xfId="2750" xr:uid="{00000000-0005-0000-0000-00002D210000}"/>
    <cellStyle name="Note 2 4 8" xfId="2831" xr:uid="{00000000-0005-0000-0000-00002E210000}"/>
    <cellStyle name="Note 2 4 8 2" xfId="7056" xr:uid="{00000000-0005-0000-0000-00002F210000}"/>
    <cellStyle name="Note 2 4 8 2 2" xfId="15485" xr:uid="{62BA5EC6-386C-4F8F-8833-0CB51EEA3F65}"/>
    <cellStyle name="Note 2 4 8 2 3" xfId="23913" xr:uid="{6F5C873E-081C-48C5-8943-48C965FD5641}"/>
    <cellStyle name="Note 2 4 8 3" xfId="11267" xr:uid="{BB68D432-3BCD-4B4B-A4FD-A9EE78D31291}"/>
    <cellStyle name="Note 2 4 8 4" xfId="19696" xr:uid="{AD734A72-7E10-4818-8C99-F90067F40406}"/>
    <cellStyle name="Note 2 4 9" xfId="4911" xr:uid="{00000000-0005-0000-0000-000030210000}"/>
    <cellStyle name="Note 2 4 9 2" xfId="13340" xr:uid="{67FE444C-137F-49C2-822E-CECD326C95D6}"/>
    <cellStyle name="Note 2 4 9 3" xfId="21768" xr:uid="{240B6526-39E6-4A08-A6DD-AD3E631B8B55}"/>
    <cellStyle name="Note 2 5" xfId="553" xr:uid="{00000000-0005-0000-0000-000031210000}"/>
    <cellStyle name="Note 2 5 10" xfId="9123" xr:uid="{9FB4A82C-C066-4DC3-A550-9DDA0D063262}"/>
    <cellStyle name="Note 2 5 11" xfId="17552" xr:uid="{77C41811-3F78-4E7D-8ADE-EC1D0170717E}"/>
    <cellStyle name="Note 2 5 2" xfId="1014" xr:uid="{00000000-0005-0000-0000-000032210000}"/>
    <cellStyle name="Note 2 5 2 2" xfId="3246" xr:uid="{00000000-0005-0000-0000-000033210000}"/>
    <cellStyle name="Note 2 5 2 2 2" xfId="7470" xr:uid="{00000000-0005-0000-0000-000034210000}"/>
    <cellStyle name="Note 2 5 2 2 2 2" xfId="15899" xr:uid="{37B27747-9A92-4C2D-9093-2619EEE1BEA6}"/>
    <cellStyle name="Note 2 5 2 2 2 3" xfId="24327" xr:uid="{99468CD7-72F4-4E1C-9272-50EF2C9D88B9}"/>
    <cellStyle name="Note 2 5 2 2 3" xfId="11681" xr:uid="{5E95571B-5D10-44CB-B456-74B09E51C2F3}"/>
    <cellStyle name="Note 2 5 2 2 4" xfId="20110" xr:uid="{8E804C50-BD73-4944-9543-A7D936CF4EDD}"/>
    <cellStyle name="Note 2 5 2 3" xfId="5325" xr:uid="{00000000-0005-0000-0000-000035210000}"/>
    <cellStyle name="Note 2 5 2 3 2" xfId="13754" xr:uid="{5A5F93C5-29C0-418C-B549-60B9667E76A5}"/>
    <cellStyle name="Note 2 5 2 3 3" xfId="22182" xr:uid="{A7C29D7A-291D-4510-8901-58726D185AC3}"/>
    <cellStyle name="Note 2 5 2 4" xfId="9536" xr:uid="{4DA3FDE4-F413-4E29-934C-7C9739A8696B}"/>
    <cellStyle name="Note 2 5 2 5" xfId="17965" xr:uid="{2B98A4F0-E892-4B1E-A432-4E5D76AD1BA6}"/>
    <cellStyle name="Note 2 5 3" xfId="1429" xr:uid="{00000000-0005-0000-0000-000036210000}"/>
    <cellStyle name="Note 2 5 3 2" xfId="3659" xr:uid="{00000000-0005-0000-0000-000037210000}"/>
    <cellStyle name="Note 2 5 3 2 2" xfId="7883" xr:uid="{00000000-0005-0000-0000-000038210000}"/>
    <cellStyle name="Note 2 5 3 2 2 2" xfId="16312" xr:uid="{B91A96B1-9713-4E54-ADEE-CA29AC557C61}"/>
    <cellStyle name="Note 2 5 3 2 2 3" xfId="24740" xr:uid="{10E8DA68-6C65-4A21-8533-5C4EBC706952}"/>
    <cellStyle name="Note 2 5 3 2 3" xfId="12094" xr:uid="{A59738F9-EC09-4C70-8E10-C69EED6156F7}"/>
    <cellStyle name="Note 2 5 3 2 4" xfId="20523" xr:uid="{E03F3C27-3EFD-4A88-AE23-12EB97244F9F}"/>
    <cellStyle name="Note 2 5 3 3" xfId="5738" xr:uid="{00000000-0005-0000-0000-000039210000}"/>
    <cellStyle name="Note 2 5 3 3 2" xfId="14167" xr:uid="{9B66F4C4-7658-467B-97BB-FB59BE93E3DA}"/>
    <cellStyle name="Note 2 5 3 3 3" xfId="22595" xr:uid="{FF850352-D22B-4AA6-9E80-0388753FCA1A}"/>
    <cellStyle name="Note 2 5 3 4" xfId="9949" xr:uid="{7B8A0B84-0950-40CD-BF2E-064B94089352}"/>
    <cellStyle name="Note 2 5 3 5" xfId="18378" xr:uid="{F87ACA3C-D544-49B2-98E2-4B29135F70BD}"/>
    <cellStyle name="Note 2 5 4" xfId="1843" xr:uid="{00000000-0005-0000-0000-00003A210000}"/>
    <cellStyle name="Note 2 5 4 2" xfId="4072" xr:uid="{00000000-0005-0000-0000-00003B210000}"/>
    <cellStyle name="Note 2 5 4 2 2" xfId="8296" xr:uid="{00000000-0005-0000-0000-00003C210000}"/>
    <cellStyle name="Note 2 5 4 2 2 2" xfId="16725" xr:uid="{EA833F63-EE3D-45E7-BC68-6CA4759389F5}"/>
    <cellStyle name="Note 2 5 4 2 2 3" xfId="25153" xr:uid="{77415D2A-4742-4512-B8F2-8F1CDF16752C}"/>
    <cellStyle name="Note 2 5 4 2 3" xfId="12507" xr:uid="{019F207C-DC26-4978-8088-156A5377656B}"/>
    <cellStyle name="Note 2 5 4 2 4" xfId="20936" xr:uid="{C49F5879-5A3B-40EB-ABE1-3A39ADC0AB16}"/>
    <cellStyle name="Note 2 5 4 3" xfId="6151" xr:uid="{00000000-0005-0000-0000-00003D210000}"/>
    <cellStyle name="Note 2 5 4 3 2" xfId="14580" xr:uid="{7AF3E74D-6704-4BDD-81AF-E266B3CCEC5C}"/>
    <cellStyle name="Note 2 5 4 3 3" xfId="23008" xr:uid="{7CA31031-0C52-497C-93E9-D440F6AB96ED}"/>
    <cellStyle name="Note 2 5 4 4" xfId="10362" xr:uid="{5CA528D4-D397-4E4C-9F93-8F6FF0885771}"/>
    <cellStyle name="Note 2 5 4 5" xfId="18791" xr:uid="{A3DE9C07-E9CA-4003-950B-054A37AB8A54}"/>
    <cellStyle name="Note 2 5 5" xfId="2256" xr:uid="{00000000-0005-0000-0000-00003E210000}"/>
    <cellStyle name="Note 2 5 5 2" xfId="4485" xr:uid="{00000000-0005-0000-0000-00003F210000}"/>
    <cellStyle name="Note 2 5 5 2 2" xfId="8709" xr:uid="{00000000-0005-0000-0000-000040210000}"/>
    <cellStyle name="Note 2 5 5 2 2 2" xfId="17138" xr:uid="{167BAC82-365E-4284-ADC0-E9248E93DC00}"/>
    <cellStyle name="Note 2 5 5 2 2 3" xfId="25566" xr:uid="{439BE233-F5D2-446D-9D5C-C6D818637886}"/>
    <cellStyle name="Note 2 5 5 2 3" xfId="12920" xr:uid="{09251466-CE29-48E6-8BC1-663E4597E802}"/>
    <cellStyle name="Note 2 5 5 2 4" xfId="21349" xr:uid="{F6EC0914-5C5F-485C-A300-F3A00D92BCF7}"/>
    <cellStyle name="Note 2 5 5 3" xfId="6564" xr:uid="{00000000-0005-0000-0000-000041210000}"/>
    <cellStyle name="Note 2 5 5 3 2" xfId="14993" xr:uid="{F750315E-436A-4153-9C81-F1E6ECC431C4}"/>
    <cellStyle name="Note 2 5 5 3 3" xfId="23421" xr:uid="{88BC9381-BCF0-460A-9D9D-87BB263A23C8}"/>
    <cellStyle name="Note 2 5 5 4" xfId="10775" xr:uid="{6EDE5375-F554-47B1-8885-EBD9B8A22DA4}"/>
    <cellStyle name="Note 2 5 5 5" xfId="19204" xr:uid="{BD9E720D-253F-44BF-A836-DA9204B490AA}"/>
    <cellStyle name="Note 2 5 6" xfId="2692" xr:uid="{00000000-0005-0000-0000-000042210000}"/>
    <cellStyle name="Note 2 5 6 2" xfId="6977" xr:uid="{00000000-0005-0000-0000-000043210000}"/>
    <cellStyle name="Note 2 5 6 2 2" xfId="15406" xr:uid="{78003BA2-3BCA-42D3-B8C5-C669C288D1D4}"/>
    <cellStyle name="Note 2 5 6 2 3" xfId="23834" xr:uid="{CD57F1B1-AC0D-4AEB-8D87-040F4D5C8C20}"/>
    <cellStyle name="Note 2 5 6 3" xfId="11188" xr:uid="{5A4BAA15-3245-499D-AB4F-47A71BBD4F93}"/>
    <cellStyle name="Note 2 5 6 4" xfId="19617" xr:uid="{8CC77C2F-E197-42CB-A6F0-1411A193EDBD}"/>
    <cellStyle name="Note 2 5 7" xfId="2751" xr:uid="{00000000-0005-0000-0000-000044210000}"/>
    <cellStyle name="Note 2 5 8" xfId="2832" xr:uid="{00000000-0005-0000-0000-000045210000}"/>
    <cellStyle name="Note 2 5 8 2" xfId="7057" xr:uid="{00000000-0005-0000-0000-000046210000}"/>
    <cellStyle name="Note 2 5 8 2 2" xfId="15486" xr:uid="{9A401A8B-A893-4451-8FAB-9ECD694CB2F8}"/>
    <cellStyle name="Note 2 5 8 2 3" xfId="23914" xr:uid="{55B1698B-4C5D-45DC-A069-02E0E473F15B}"/>
    <cellStyle name="Note 2 5 8 3" xfId="11268" xr:uid="{B714B04E-4C32-4CB8-8DEE-003E7307E1F1}"/>
    <cellStyle name="Note 2 5 8 4" xfId="19697" xr:uid="{F50D4D4F-66DB-4DB6-A40A-FA2822467BE7}"/>
    <cellStyle name="Note 2 5 9" xfId="4912" xr:uid="{00000000-0005-0000-0000-000047210000}"/>
    <cellStyle name="Note 2 5 9 2" xfId="13341" xr:uid="{72473064-3399-42FE-B514-4404D03D984C}"/>
    <cellStyle name="Note 2 5 9 3" xfId="21769" xr:uid="{5AC6D631-74B5-4B3B-B5A3-E22E51381A2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7" xr:uid="{54390908-39D6-4E74-B2E7-58D199494F8B}"/>
    <cellStyle name="Note 3 2 10 2 3" xfId="23915" xr:uid="{2D513D16-3F9D-415B-86FC-30DC2F820659}"/>
    <cellStyle name="Note 3 2 10 3" xfId="11269" xr:uid="{D536488A-C0C2-4C85-BD1B-8642DADEEF6C}"/>
    <cellStyle name="Note 3 2 10 4" xfId="19698" xr:uid="{6B7E7E2E-7699-412C-9CD1-43D26B9D9355}"/>
    <cellStyle name="Note 3 2 11" xfId="4913" xr:uid="{00000000-0005-0000-0000-00004C210000}"/>
    <cellStyle name="Note 3 2 11 2" xfId="13342" xr:uid="{DD065198-C61A-4B74-B540-458B24DBE3F3}"/>
    <cellStyle name="Note 3 2 11 3" xfId="21770" xr:uid="{5D67C5ED-1DD5-4A30-9B4E-AE3E9CEE77CE}"/>
    <cellStyle name="Note 3 2 12" xfId="9124" xr:uid="{3FC787AD-7845-480E-9C3E-8232F07074E7}"/>
    <cellStyle name="Note 3 2 13" xfId="17553" xr:uid="{A767E205-AB81-4262-B0CB-D641FCB2CB31}"/>
    <cellStyle name="Note 3 2 2" xfId="556" xr:uid="{00000000-0005-0000-0000-00004D210000}"/>
    <cellStyle name="Note 3 2 2 10" xfId="4914" xr:uid="{00000000-0005-0000-0000-00004E210000}"/>
    <cellStyle name="Note 3 2 2 10 2" xfId="13343" xr:uid="{DD343D6B-D228-4869-AF6F-3B95A9C436FA}"/>
    <cellStyle name="Note 3 2 2 10 3" xfId="21771" xr:uid="{A8CCB4DD-E2B1-41D6-A76D-E7E601A60598}"/>
    <cellStyle name="Note 3 2 2 11" xfId="9125" xr:uid="{4A678090-62AD-4754-9DEF-98B201C43568}"/>
    <cellStyle name="Note 3 2 2 12" xfId="17554" xr:uid="{E94C8EF8-E383-4B9E-BC69-D42EB31FDA55}"/>
    <cellStyle name="Note 3 2 2 2" xfId="557" xr:uid="{00000000-0005-0000-0000-00004F210000}"/>
    <cellStyle name="Note 3 2 2 2 10" xfId="9126" xr:uid="{CC090B94-B34B-43A1-B2AF-297CA4EE4AFF}"/>
    <cellStyle name="Note 3 2 2 2 11" xfId="17555" xr:uid="{FA1C41DE-58A5-43CB-AF41-3601BE829723}"/>
    <cellStyle name="Note 3 2 2 2 2" xfId="1017" xr:uid="{00000000-0005-0000-0000-000050210000}"/>
    <cellStyle name="Note 3 2 2 2 2 2" xfId="3249" xr:uid="{00000000-0005-0000-0000-000051210000}"/>
    <cellStyle name="Note 3 2 2 2 2 2 2" xfId="7473" xr:uid="{00000000-0005-0000-0000-000052210000}"/>
    <cellStyle name="Note 3 2 2 2 2 2 2 2" xfId="15902" xr:uid="{606F88FF-7AA2-4762-A093-B07B2FCCC398}"/>
    <cellStyle name="Note 3 2 2 2 2 2 2 3" xfId="24330" xr:uid="{D5D03DC4-9771-445A-82C8-81D740E97F79}"/>
    <cellStyle name="Note 3 2 2 2 2 2 3" xfId="11684" xr:uid="{2D52195E-85DC-4DB7-8129-1E620B8DFE55}"/>
    <cellStyle name="Note 3 2 2 2 2 2 4" xfId="20113" xr:uid="{6C02C01F-15A2-4AF3-B8BD-479EBAC0CC10}"/>
    <cellStyle name="Note 3 2 2 2 2 3" xfId="5328" xr:uid="{00000000-0005-0000-0000-000053210000}"/>
    <cellStyle name="Note 3 2 2 2 2 3 2" xfId="13757" xr:uid="{F6521ECB-F4AB-470F-B946-99E67752F549}"/>
    <cellStyle name="Note 3 2 2 2 2 3 3" xfId="22185" xr:uid="{CB25A125-F745-4CE5-9ACB-21D842AF9F1E}"/>
    <cellStyle name="Note 3 2 2 2 2 4" xfId="9539" xr:uid="{2EDC429D-80A0-4B0F-80A6-0553E91C6A8A}"/>
    <cellStyle name="Note 3 2 2 2 2 5" xfId="17968" xr:uid="{D79E041A-AA0B-4151-919E-35257C1FE306}"/>
    <cellStyle name="Note 3 2 2 2 3" xfId="1432" xr:uid="{00000000-0005-0000-0000-000054210000}"/>
    <cellStyle name="Note 3 2 2 2 3 2" xfId="3662" xr:uid="{00000000-0005-0000-0000-000055210000}"/>
    <cellStyle name="Note 3 2 2 2 3 2 2" xfId="7886" xr:uid="{00000000-0005-0000-0000-000056210000}"/>
    <cellStyle name="Note 3 2 2 2 3 2 2 2" xfId="16315" xr:uid="{986C7378-D6CB-4CE0-8106-BDF35123B399}"/>
    <cellStyle name="Note 3 2 2 2 3 2 2 3" xfId="24743" xr:uid="{E7399DC4-D3A2-4A94-9FFD-FA829B6BE9E4}"/>
    <cellStyle name="Note 3 2 2 2 3 2 3" xfId="12097" xr:uid="{BC9B63FF-AAA9-4A5E-B40B-42314DEC24F0}"/>
    <cellStyle name="Note 3 2 2 2 3 2 4" xfId="20526" xr:uid="{98C56FB5-4E46-4660-8400-AC9182E397A0}"/>
    <cellStyle name="Note 3 2 2 2 3 3" xfId="5741" xr:uid="{00000000-0005-0000-0000-000057210000}"/>
    <cellStyle name="Note 3 2 2 2 3 3 2" xfId="14170" xr:uid="{79CB7CFD-A113-4599-86AF-AB6A3D1CE34B}"/>
    <cellStyle name="Note 3 2 2 2 3 3 3" xfId="22598" xr:uid="{5E1486AA-EBE1-43D7-9F47-A8A8C877CD53}"/>
    <cellStyle name="Note 3 2 2 2 3 4" xfId="9952" xr:uid="{F8676BFC-9F79-4107-A0EF-0AF7E7D39E58}"/>
    <cellStyle name="Note 3 2 2 2 3 5" xfId="18381" xr:uid="{E8AAEDFD-9BD7-41D0-B66B-F0DFB86E007D}"/>
    <cellStyle name="Note 3 2 2 2 4" xfId="1846" xr:uid="{00000000-0005-0000-0000-000058210000}"/>
    <cellStyle name="Note 3 2 2 2 4 2" xfId="4075" xr:uid="{00000000-0005-0000-0000-000059210000}"/>
    <cellStyle name="Note 3 2 2 2 4 2 2" xfId="8299" xr:uid="{00000000-0005-0000-0000-00005A210000}"/>
    <cellStyle name="Note 3 2 2 2 4 2 2 2" xfId="16728" xr:uid="{638ADF2C-0B2F-4AF2-9062-FC87B0007CE2}"/>
    <cellStyle name="Note 3 2 2 2 4 2 2 3" xfId="25156" xr:uid="{C1E92DDD-6823-4ACA-A3F1-28A0AEB9EAB0}"/>
    <cellStyle name="Note 3 2 2 2 4 2 3" xfId="12510" xr:uid="{02EF7F28-7DCF-4649-B320-F9C72FF97C76}"/>
    <cellStyle name="Note 3 2 2 2 4 2 4" xfId="20939" xr:uid="{6B8962A3-E78C-4E2B-85DC-0CF1E4E971E7}"/>
    <cellStyle name="Note 3 2 2 2 4 3" xfId="6154" xr:uid="{00000000-0005-0000-0000-00005B210000}"/>
    <cellStyle name="Note 3 2 2 2 4 3 2" xfId="14583" xr:uid="{0E9444E2-F733-4B21-9421-B5CF27441D58}"/>
    <cellStyle name="Note 3 2 2 2 4 3 3" xfId="23011" xr:uid="{B807EC18-0DA4-42C8-ACD8-A744A4110424}"/>
    <cellStyle name="Note 3 2 2 2 4 4" xfId="10365" xr:uid="{DF6702F0-1144-4623-A901-7E3E3E881585}"/>
    <cellStyle name="Note 3 2 2 2 4 5" xfId="18794" xr:uid="{5E3E4C2C-8364-4F7D-87D4-E5389E194EDB}"/>
    <cellStyle name="Note 3 2 2 2 5" xfId="2259" xr:uid="{00000000-0005-0000-0000-00005C210000}"/>
    <cellStyle name="Note 3 2 2 2 5 2" xfId="4488" xr:uid="{00000000-0005-0000-0000-00005D210000}"/>
    <cellStyle name="Note 3 2 2 2 5 2 2" xfId="8712" xr:uid="{00000000-0005-0000-0000-00005E210000}"/>
    <cellStyle name="Note 3 2 2 2 5 2 2 2" xfId="17141" xr:uid="{93E08B23-A16B-47C0-B79D-1A727E4A3551}"/>
    <cellStyle name="Note 3 2 2 2 5 2 2 3" xfId="25569" xr:uid="{5C2A0760-E542-4EC0-AE5B-6384DCE70BF3}"/>
    <cellStyle name="Note 3 2 2 2 5 2 3" xfId="12923" xr:uid="{D661F480-D1D9-4F4C-B15E-4BD6B6CE21A4}"/>
    <cellStyle name="Note 3 2 2 2 5 2 4" xfId="21352" xr:uid="{0C143566-23E8-40DA-8B35-8ABB8A511D63}"/>
    <cellStyle name="Note 3 2 2 2 5 3" xfId="6567" xr:uid="{00000000-0005-0000-0000-00005F210000}"/>
    <cellStyle name="Note 3 2 2 2 5 3 2" xfId="14996" xr:uid="{FE8F8E59-3128-47A3-982E-9EFCED6EB6F1}"/>
    <cellStyle name="Note 3 2 2 2 5 3 3" xfId="23424" xr:uid="{2F645D66-DA8E-4692-8542-D8119391B211}"/>
    <cellStyle name="Note 3 2 2 2 5 4" xfId="10778" xr:uid="{7000CFB7-5028-412A-B34B-AD6EA3720DDC}"/>
    <cellStyle name="Note 3 2 2 2 5 5" xfId="19207" xr:uid="{124E2D6F-2B9A-4B50-B16D-84820F1CF657}"/>
    <cellStyle name="Note 3 2 2 2 6" xfId="2695" xr:uid="{00000000-0005-0000-0000-000060210000}"/>
    <cellStyle name="Note 3 2 2 2 6 2" xfId="6980" xr:uid="{00000000-0005-0000-0000-000061210000}"/>
    <cellStyle name="Note 3 2 2 2 6 2 2" xfId="15409" xr:uid="{20CFF9C3-BFCC-42B8-8771-9A983C966A60}"/>
    <cellStyle name="Note 3 2 2 2 6 2 3" xfId="23837" xr:uid="{81FBBE88-67E5-422F-B046-3EF5165E122E}"/>
    <cellStyle name="Note 3 2 2 2 6 3" xfId="11191" xr:uid="{601581A0-87D7-4C0C-A069-B9DD00723379}"/>
    <cellStyle name="Note 3 2 2 2 6 4" xfId="19620" xr:uid="{99795B29-149B-4C41-B92F-AC6B008ABAE0}"/>
    <cellStyle name="Note 3 2 2 2 7" xfId="2754" xr:uid="{00000000-0005-0000-0000-000062210000}"/>
    <cellStyle name="Note 3 2 2 2 8" xfId="2835" xr:uid="{00000000-0005-0000-0000-000063210000}"/>
    <cellStyle name="Note 3 2 2 2 8 2" xfId="7060" xr:uid="{00000000-0005-0000-0000-000064210000}"/>
    <cellStyle name="Note 3 2 2 2 8 2 2" xfId="15489" xr:uid="{1E9D463F-3C30-438F-8946-9FE9F3FE2983}"/>
    <cellStyle name="Note 3 2 2 2 8 2 3" xfId="23917" xr:uid="{E93D50B8-C94F-4B78-B1A7-2DFC42252CB2}"/>
    <cellStyle name="Note 3 2 2 2 8 3" xfId="11271" xr:uid="{CA948DAC-E607-40E1-9BF1-5DEE6B22E5F5}"/>
    <cellStyle name="Note 3 2 2 2 8 4" xfId="19700" xr:uid="{51130391-774D-4535-9D53-BF5F768ACAD0}"/>
    <cellStyle name="Note 3 2 2 2 9" xfId="4915" xr:uid="{00000000-0005-0000-0000-000065210000}"/>
    <cellStyle name="Note 3 2 2 2 9 2" xfId="13344" xr:uid="{24F90E66-DB0A-41C1-94D3-44ACAA297C0C}"/>
    <cellStyle name="Note 3 2 2 2 9 3" xfId="21772" xr:uid="{0E30C65E-FBFD-4144-A943-2579AE182AE7}"/>
    <cellStyle name="Note 3 2 2 3" xfId="1016" xr:uid="{00000000-0005-0000-0000-000066210000}"/>
    <cellStyle name="Note 3 2 2 3 2" xfId="3248" xr:uid="{00000000-0005-0000-0000-000067210000}"/>
    <cellStyle name="Note 3 2 2 3 2 2" xfId="7472" xr:uid="{00000000-0005-0000-0000-000068210000}"/>
    <cellStyle name="Note 3 2 2 3 2 2 2" xfId="15901" xr:uid="{CA79751C-5F6C-44E3-87A6-C51E22DED511}"/>
    <cellStyle name="Note 3 2 2 3 2 2 3" xfId="24329" xr:uid="{115739A9-A495-4BFC-ACC7-025094749F74}"/>
    <cellStyle name="Note 3 2 2 3 2 3" xfId="11683" xr:uid="{23C7209E-89AB-4605-A511-113FFFA147B5}"/>
    <cellStyle name="Note 3 2 2 3 2 4" xfId="20112" xr:uid="{6BE9D917-FB20-4889-B4E6-414DC9E73F8A}"/>
    <cellStyle name="Note 3 2 2 3 3" xfId="5327" xr:uid="{00000000-0005-0000-0000-000069210000}"/>
    <cellStyle name="Note 3 2 2 3 3 2" xfId="13756" xr:uid="{F406A646-8277-4E7F-9223-BAAF9542B4E2}"/>
    <cellStyle name="Note 3 2 2 3 3 3" xfId="22184" xr:uid="{3210614A-59F7-4BA2-93AB-5C502B4F483E}"/>
    <cellStyle name="Note 3 2 2 3 4" xfId="9538" xr:uid="{BCF4F74C-9C1B-440C-9012-1DEB353C8370}"/>
    <cellStyle name="Note 3 2 2 3 5" xfId="17967" xr:uid="{5F0746FA-08E2-47B3-B1A1-F2F040BB3A8C}"/>
    <cellStyle name="Note 3 2 2 4" xfId="1431" xr:uid="{00000000-0005-0000-0000-00006A210000}"/>
    <cellStyle name="Note 3 2 2 4 2" xfId="3661" xr:uid="{00000000-0005-0000-0000-00006B210000}"/>
    <cellStyle name="Note 3 2 2 4 2 2" xfId="7885" xr:uid="{00000000-0005-0000-0000-00006C210000}"/>
    <cellStyle name="Note 3 2 2 4 2 2 2" xfId="16314" xr:uid="{AA5981CF-27C6-4963-A2E2-5D2DCDE04F22}"/>
    <cellStyle name="Note 3 2 2 4 2 2 3" xfId="24742" xr:uid="{40CF8B52-D294-409E-B6D7-4326DC620BA9}"/>
    <cellStyle name="Note 3 2 2 4 2 3" xfId="12096" xr:uid="{BE10F1C2-F937-4D6D-BEB9-C05B2B9A26DC}"/>
    <cellStyle name="Note 3 2 2 4 2 4" xfId="20525" xr:uid="{D17784D8-A4A0-4EA5-A5B4-509CF53A4A65}"/>
    <cellStyle name="Note 3 2 2 4 3" xfId="5740" xr:uid="{00000000-0005-0000-0000-00006D210000}"/>
    <cellStyle name="Note 3 2 2 4 3 2" xfId="14169" xr:uid="{144DE71B-FCD8-4582-8A33-4220BD196CBC}"/>
    <cellStyle name="Note 3 2 2 4 3 3" xfId="22597" xr:uid="{2079A1E9-23FA-435A-AEE1-383159D279DF}"/>
    <cellStyle name="Note 3 2 2 4 4" xfId="9951" xr:uid="{D13DD865-B44A-4E9B-9982-55811C6BE1F2}"/>
    <cellStyle name="Note 3 2 2 4 5" xfId="18380" xr:uid="{51017F60-4CE6-49C1-91F2-7598349F3601}"/>
    <cellStyle name="Note 3 2 2 5" xfId="1845" xr:uid="{00000000-0005-0000-0000-00006E210000}"/>
    <cellStyle name="Note 3 2 2 5 2" xfId="4074" xr:uid="{00000000-0005-0000-0000-00006F210000}"/>
    <cellStyle name="Note 3 2 2 5 2 2" xfId="8298" xr:uid="{00000000-0005-0000-0000-000070210000}"/>
    <cellStyle name="Note 3 2 2 5 2 2 2" xfId="16727" xr:uid="{59223A7C-6948-4E87-B407-7C706AE6C3B3}"/>
    <cellStyle name="Note 3 2 2 5 2 2 3" xfId="25155" xr:uid="{17849EC4-7BA8-4D84-9206-843E837CB313}"/>
    <cellStyle name="Note 3 2 2 5 2 3" xfId="12509" xr:uid="{B59F41A7-0086-4F11-9E54-63C644235E77}"/>
    <cellStyle name="Note 3 2 2 5 2 4" xfId="20938" xr:uid="{EB92362B-9874-4ED0-B49C-A7565E51B556}"/>
    <cellStyle name="Note 3 2 2 5 3" xfId="6153" xr:uid="{00000000-0005-0000-0000-000071210000}"/>
    <cellStyle name="Note 3 2 2 5 3 2" xfId="14582" xr:uid="{E4048249-43D3-4D50-B298-0725FD91C252}"/>
    <cellStyle name="Note 3 2 2 5 3 3" xfId="23010" xr:uid="{24C257F6-0A3F-476D-A875-A1F24C8802D6}"/>
    <cellStyle name="Note 3 2 2 5 4" xfId="10364" xr:uid="{304873CD-61DC-47BE-89D0-283FDA6126E2}"/>
    <cellStyle name="Note 3 2 2 5 5" xfId="18793" xr:uid="{2698C5C1-CE92-4C6B-B1F8-C85A28CD8645}"/>
    <cellStyle name="Note 3 2 2 6" xfId="2258" xr:uid="{00000000-0005-0000-0000-000072210000}"/>
    <cellStyle name="Note 3 2 2 6 2" xfId="4487" xr:uid="{00000000-0005-0000-0000-000073210000}"/>
    <cellStyle name="Note 3 2 2 6 2 2" xfId="8711" xr:uid="{00000000-0005-0000-0000-000074210000}"/>
    <cellStyle name="Note 3 2 2 6 2 2 2" xfId="17140" xr:uid="{B7DCF6D3-0DC4-443C-9D82-586006A12E9F}"/>
    <cellStyle name="Note 3 2 2 6 2 2 3" xfId="25568" xr:uid="{4852E561-D303-4D55-97E8-DFAF2E56CD26}"/>
    <cellStyle name="Note 3 2 2 6 2 3" xfId="12922" xr:uid="{9F38B765-2FD4-41B3-BD6E-3BB82E0A09B8}"/>
    <cellStyle name="Note 3 2 2 6 2 4" xfId="21351" xr:uid="{D95E7FE4-CA62-4D9D-A661-A2F8E4D5A2F5}"/>
    <cellStyle name="Note 3 2 2 6 3" xfId="6566" xr:uid="{00000000-0005-0000-0000-000075210000}"/>
    <cellStyle name="Note 3 2 2 6 3 2" xfId="14995" xr:uid="{A79E1CC8-D91B-4CDE-8574-0D5C3842BB94}"/>
    <cellStyle name="Note 3 2 2 6 3 3" xfId="23423" xr:uid="{29CE1B11-4ECB-4154-9742-1CC9F46E0585}"/>
    <cellStyle name="Note 3 2 2 6 4" xfId="10777" xr:uid="{D3B4CBFF-D953-498F-A302-6006EC618960}"/>
    <cellStyle name="Note 3 2 2 6 5" xfId="19206" xr:uid="{C731A504-AFB8-4BD2-99C3-20834D216F0D}"/>
    <cellStyle name="Note 3 2 2 7" xfId="2694" xr:uid="{00000000-0005-0000-0000-000076210000}"/>
    <cellStyle name="Note 3 2 2 7 2" xfId="6979" xr:uid="{00000000-0005-0000-0000-000077210000}"/>
    <cellStyle name="Note 3 2 2 7 2 2" xfId="15408" xr:uid="{8B83C219-2704-4A0A-BEAB-863FA448CDA5}"/>
    <cellStyle name="Note 3 2 2 7 2 3" xfId="23836" xr:uid="{BDFD5A65-26CA-48CD-B4B5-B2DCC707DE58}"/>
    <cellStyle name="Note 3 2 2 7 3" xfId="11190" xr:uid="{7E3F2B0D-07D9-411D-A1EC-121626080A1D}"/>
    <cellStyle name="Note 3 2 2 7 4" xfId="19619" xr:uid="{F0D06F76-BB9C-4142-8F9A-6210D960F71F}"/>
    <cellStyle name="Note 3 2 2 8" xfId="2753" xr:uid="{00000000-0005-0000-0000-000078210000}"/>
    <cellStyle name="Note 3 2 2 9" xfId="2834" xr:uid="{00000000-0005-0000-0000-000079210000}"/>
    <cellStyle name="Note 3 2 2 9 2" xfId="7059" xr:uid="{00000000-0005-0000-0000-00007A210000}"/>
    <cellStyle name="Note 3 2 2 9 2 2" xfId="15488" xr:uid="{D56148FB-24FE-48FA-820B-930E356A678B}"/>
    <cellStyle name="Note 3 2 2 9 2 3" xfId="23916" xr:uid="{4BC846A4-3C92-449C-809C-A90C89E02B6A}"/>
    <cellStyle name="Note 3 2 2 9 3" xfId="11270" xr:uid="{F3829092-0499-43F6-A958-75440934D57A}"/>
    <cellStyle name="Note 3 2 2 9 4" xfId="19699" xr:uid="{8B386A00-2821-491A-9C62-530FF52F3A3A}"/>
    <cellStyle name="Note 3 2 3" xfId="558" xr:uid="{00000000-0005-0000-0000-00007B210000}"/>
    <cellStyle name="Note 3 2 3 10" xfId="9127" xr:uid="{C2CE903F-74F7-42A2-ABD8-0DC7CDD68B95}"/>
    <cellStyle name="Note 3 2 3 11" xfId="17556" xr:uid="{59EB9291-D9FC-4726-AA3F-76168C42C5FB}"/>
    <cellStyle name="Note 3 2 3 2" xfId="1018" xr:uid="{00000000-0005-0000-0000-00007C210000}"/>
    <cellStyle name="Note 3 2 3 2 2" xfId="3250" xr:uid="{00000000-0005-0000-0000-00007D210000}"/>
    <cellStyle name="Note 3 2 3 2 2 2" xfId="7474" xr:uid="{00000000-0005-0000-0000-00007E210000}"/>
    <cellStyle name="Note 3 2 3 2 2 2 2" xfId="15903" xr:uid="{82C1699D-7341-4B5E-9044-B44A549868A3}"/>
    <cellStyle name="Note 3 2 3 2 2 2 3" xfId="24331" xr:uid="{8E577EA6-A659-4820-841E-7FE08051D73B}"/>
    <cellStyle name="Note 3 2 3 2 2 3" xfId="11685" xr:uid="{04A419B7-A279-413B-97F8-956C38CCD49D}"/>
    <cellStyle name="Note 3 2 3 2 2 4" xfId="20114" xr:uid="{B5E1C150-3C36-4FAD-B974-5122F4E74A10}"/>
    <cellStyle name="Note 3 2 3 2 3" xfId="5329" xr:uid="{00000000-0005-0000-0000-00007F210000}"/>
    <cellStyle name="Note 3 2 3 2 3 2" xfId="13758" xr:uid="{C562BEA0-BEBF-4C26-A103-F16DD1490146}"/>
    <cellStyle name="Note 3 2 3 2 3 3" xfId="22186" xr:uid="{CDBC216D-4BAE-4797-8769-15AC3649A03F}"/>
    <cellStyle name="Note 3 2 3 2 4" xfId="9540" xr:uid="{8A5DCFDC-77E5-4854-B6D0-CAF12F6B3C06}"/>
    <cellStyle name="Note 3 2 3 2 5" xfId="17969" xr:uid="{1C5BE501-4412-4230-9C7B-388B596DB4A2}"/>
    <cellStyle name="Note 3 2 3 3" xfId="1433" xr:uid="{00000000-0005-0000-0000-000080210000}"/>
    <cellStyle name="Note 3 2 3 3 2" xfId="3663" xr:uid="{00000000-0005-0000-0000-000081210000}"/>
    <cellStyle name="Note 3 2 3 3 2 2" xfId="7887" xr:uid="{00000000-0005-0000-0000-000082210000}"/>
    <cellStyle name="Note 3 2 3 3 2 2 2" xfId="16316" xr:uid="{DC0DB5FB-A76F-4F9C-8E1D-C760B4816B8A}"/>
    <cellStyle name="Note 3 2 3 3 2 2 3" xfId="24744" xr:uid="{015FDAD6-C000-4AEC-B9DD-19A1F266F09E}"/>
    <cellStyle name="Note 3 2 3 3 2 3" xfId="12098" xr:uid="{3AFC8B06-2730-4AB1-AFDF-5BCC2B57C873}"/>
    <cellStyle name="Note 3 2 3 3 2 4" xfId="20527" xr:uid="{B4E9534E-6403-4008-9CB4-5E669B49F382}"/>
    <cellStyle name="Note 3 2 3 3 3" xfId="5742" xr:uid="{00000000-0005-0000-0000-000083210000}"/>
    <cellStyle name="Note 3 2 3 3 3 2" xfId="14171" xr:uid="{F699A5F0-DEC5-44EE-A76F-92351D71F9F5}"/>
    <cellStyle name="Note 3 2 3 3 3 3" xfId="22599" xr:uid="{A68AF694-9A05-4CA4-B45A-119B875B0AAB}"/>
    <cellStyle name="Note 3 2 3 3 4" xfId="9953" xr:uid="{E07FE021-3DDE-48C0-9261-556EC8165B45}"/>
    <cellStyle name="Note 3 2 3 3 5" xfId="18382" xr:uid="{B4EABAA6-739D-4934-A3FF-55B79D12E11A}"/>
    <cellStyle name="Note 3 2 3 4" xfId="1847" xr:uid="{00000000-0005-0000-0000-000084210000}"/>
    <cellStyle name="Note 3 2 3 4 2" xfId="4076" xr:uid="{00000000-0005-0000-0000-000085210000}"/>
    <cellStyle name="Note 3 2 3 4 2 2" xfId="8300" xr:uid="{00000000-0005-0000-0000-000086210000}"/>
    <cellStyle name="Note 3 2 3 4 2 2 2" xfId="16729" xr:uid="{3F82989D-5296-41D0-B037-6AD260286245}"/>
    <cellStyle name="Note 3 2 3 4 2 2 3" xfId="25157" xr:uid="{CC80B74C-AC0B-42A8-BCCA-3ED4AF698E0E}"/>
    <cellStyle name="Note 3 2 3 4 2 3" xfId="12511" xr:uid="{F3DCC54A-B2EC-4467-AB6D-168AC1954BEC}"/>
    <cellStyle name="Note 3 2 3 4 2 4" xfId="20940" xr:uid="{A66678AE-422E-423E-B91B-C159C929F24A}"/>
    <cellStyle name="Note 3 2 3 4 3" xfId="6155" xr:uid="{00000000-0005-0000-0000-000087210000}"/>
    <cellStyle name="Note 3 2 3 4 3 2" xfId="14584" xr:uid="{7339C08F-AE83-43BF-883F-6FD1ABC3492F}"/>
    <cellStyle name="Note 3 2 3 4 3 3" xfId="23012" xr:uid="{F15D9912-2E3F-447C-89D2-6DE3CF4F0487}"/>
    <cellStyle name="Note 3 2 3 4 4" xfId="10366" xr:uid="{D66475F9-E4FB-41DF-8A9E-64AEFAAF3373}"/>
    <cellStyle name="Note 3 2 3 4 5" xfId="18795" xr:uid="{59FCFEBF-BBA7-4063-9B3D-694F607CC0DE}"/>
    <cellStyle name="Note 3 2 3 5" xfId="2260" xr:uid="{00000000-0005-0000-0000-000088210000}"/>
    <cellStyle name="Note 3 2 3 5 2" xfId="4489" xr:uid="{00000000-0005-0000-0000-000089210000}"/>
    <cellStyle name="Note 3 2 3 5 2 2" xfId="8713" xr:uid="{00000000-0005-0000-0000-00008A210000}"/>
    <cellStyle name="Note 3 2 3 5 2 2 2" xfId="17142" xr:uid="{4F443C6E-E2B0-4ED2-BD69-37FEAF5A4A15}"/>
    <cellStyle name="Note 3 2 3 5 2 2 3" xfId="25570" xr:uid="{F8D3F59C-FC1D-4749-AA50-B22826E65D47}"/>
    <cellStyle name="Note 3 2 3 5 2 3" xfId="12924" xr:uid="{CC7CEE39-FCEA-4A31-BEE7-79AF9DF7C0FB}"/>
    <cellStyle name="Note 3 2 3 5 2 4" xfId="21353" xr:uid="{AC5CC0B2-5D58-4AB0-8A32-25F271E93CAE}"/>
    <cellStyle name="Note 3 2 3 5 3" xfId="6568" xr:uid="{00000000-0005-0000-0000-00008B210000}"/>
    <cellStyle name="Note 3 2 3 5 3 2" xfId="14997" xr:uid="{7EC6A10D-513D-421E-8FF7-25DA662EE845}"/>
    <cellStyle name="Note 3 2 3 5 3 3" xfId="23425" xr:uid="{EBCA67F9-60B3-4E45-A9FA-21E3CC0CAFE4}"/>
    <cellStyle name="Note 3 2 3 5 4" xfId="10779" xr:uid="{FE9657F4-35F0-4947-BCE9-0EA3139B23DC}"/>
    <cellStyle name="Note 3 2 3 5 5" xfId="19208" xr:uid="{B4EABDAE-C17B-4184-84D1-A4962A7B6431}"/>
    <cellStyle name="Note 3 2 3 6" xfId="2696" xr:uid="{00000000-0005-0000-0000-00008C210000}"/>
    <cellStyle name="Note 3 2 3 6 2" xfId="6981" xr:uid="{00000000-0005-0000-0000-00008D210000}"/>
    <cellStyle name="Note 3 2 3 6 2 2" xfId="15410" xr:uid="{F52480F5-D096-443D-AE82-457926343C4B}"/>
    <cellStyle name="Note 3 2 3 6 2 3" xfId="23838" xr:uid="{60F5062B-7531-4CB1-AD62-B10A8F8E3CB2}"/>
    <cellStyle name="Note 3 2 3 6 3" xfId="11192" xr:uid="{DD3B0489-31B3-42EC-80D1-4C4F5B7B3845}"/>
    <cellStyle name="Note 3 2 3 6 4" xfId="19621" xr:uid="{AC76D002-0002-40A6-B4F3-B58A0E4BDAD7}"/>
    <cellStyle name="Note 3 2 3 7" xfId="2755" xr:uid="{00000000-0005-0000-0000-00008E210000}"/>
    <cellStyle name="Note 3 2 3 8" xfId="2836" xr:uid="{00000000-0005-0000-0000-00008F210000}"/>
    <cellStyle name="Note 3 2 3 8 2" xfId="7061" xr:uid="{00000000-0005-0000-0000-000090210000}"/>
    <cellStyle name="Note 3 2 3 8 2 2" xfId="15490" xr:uid="{0C56925E-E294-49BD-AFFA-630FFB0A1712}"/>
    <cellStyle name="Note 3 2 3 8 2 3" xfId="23918" xr:uid="{AA0F89D3-1655-4875-84DD-8F74C2A7A668}"/>
    <cellStyle name="Note 3 2 3 8 3" xfId="11272" xr:uid="{326B6749-DC19-4E84-A104-34C7D451C2F4}"/>
    <cellStyle name="Note 3 2 3 8 4" xfId="19701" xr:uid="{A533453C-CE8C-4562-AC48-1CC00B8577A7}"/>
    <cellStyle name="Note 3 2 3 9" xfId="4916" xr:uid="{00000000-0005-0000-0000-000091210000}"/>
    <cellStyle name="Note 3 2 3 9 2" xfId="13345" xr:uid="{3370DC13-5822-4559-84F0-E8A902D0E548}"/>
    <cellStyle name="Note 3 2 3 9 3" xfId="21773" xr:uid="{38F72726-2BC7-4155-8F47-1F1D86204C04}"/>
    <cellStyle name="Note 3 2 4" xfId="1015" xr:uid="{00000000-0005-0000-0000-000092210000}"/>
    <cellStyle name="Note 3 2 4 2" xfId="3247" xr:uid="{00000000-0005-0000-0000-000093210000}"/>
    <cellStyle name="Note 3 2 4 2 2" xfId="7471" xr:uid="{00000000-0005-0000-0000-000094210000}"/>
    <cellStyle name="Note 3 2 4 2 2 2" xfId="15900" xr:uid="{947C4E4B-3A70-4E8C-8706-D2E2856D0CD6}"/>
    <cellStyle name="Note 3 2 4 2 2 3" xfId="24328" xr:uid="{4CA5BCFC-CD3A-476C-B016-11F14A38B7A1}"/>
    <cellStyle name="Note 3 2 4 2 3" xfId="11682" xr:uid="{ADEDE978-90C4-412B-B3DC-25104A4ECD4C}"/>
    <cellStyle name="Note 3 2 4 2 4" xfId="20111" xr:uid="{CF55501C-9014-4D8D-9F79-F485DDEA1CF0}"/>
    <cellStyle name="Note 3 2 4 3" xfId="5326" xr:uid="{00000000-0005-0000-0000-000095210000}"/>
    <cellStyle name="Note 3 2 4 3 2" xfId="13755" xr:uid="{DA78DFEE-B60C-4613-88B8-0E9289384DF6}"/>
    <cellStyle name="Note 3 2 4 3 3" xfId="22183" xr:uid="{B3F5069A-5717-4F7E-9B51-0F575FAA5A7B}"/>
    <cellStyle name="Note 3 2 4 4" xfId="9537" xr:uid="{A229CB85-5397-48E6-A1A6-2C99C7A7C43B}"/>
    <cellStyle name="Note 3 2 4 5" xfId="17966" xr:uid="{7DCBBC9B-A33E-49B2-8DF7-2B77C4F5DB4D}"/>
    <cellStyle name="Note 3 2 5" xfId="1430" xr:uid="{00000000-0005-0000-0000-000096210000}"/>
    <cellStyle name="Note 3 2 5 2" xfId="3660" xr:uid="{00000000-0005-0000-0000-000097210000}"/>
    <cellStyle name="Note 3 2 5 2 2" xfId="7884" xr:uid="{00000000-0005-0000-0000-000098210000}"/>
    <cellStyle name="Note 3 2 5 2 2 2" xfId="16313" xr:uid="{4FECDF3A-371F-4288-A4FA-2AC47A84E1F0}"/>
    <cellStyle name="Note 3 2 5 2 2 3" xfId="24741" xr:uid="{CB6F0A80-1291-4A9E-921F-771E2B62B408}"/>
    <cellStyle name="Note 3 2 5 2 3" xfId="12095" xr:uid="{5B168C1E-54C8-4A97-869B-28048A4081AA}"/>
    <cellStyle name="Note 3 2 5 2 4" xfId="20524" xr:uid="{519AE428-9F90-4EC2-B6A0-87B1CA9C348A}"/>
    <cellStyle name="Note 3 2 5 3" xfId="5739" xr:uid="{00000000-0005-0000-0000-000099210000}"/>
    <cellStyle name="Note 3 2 5 3 2" xfId="14168" xr:uid="{0FD99560-4518-4583-BA67-F8CA42A8BC7C}"/>
    <cellStyle name="Note 3 2 5 3 3" xfId="22596" xr:uid="{33E7E4E2-3095-49D8-B1A2-D64D5FE7455C}"/>
    <cellStyle name="Note 3 2 5 4" xfId="9950" xr:uid="{DBE8088E-769B-49DC-96C5-9D6DE031BE3D}"/>
    <cellStyle name="Note 3 2 5 5" xfId="18379" xr:uid="{477DE836-6E6F-45F5-AA05-A62E49A174C7}"/>
    <cellStyle name="Note 3 2 6" xfId="1844" xr:uid="{00000000-0005-0000-0000-00009A210000}"/>
    <cellStyle name="Note 3 2 6 2" xfId="4073" xr:uid="{00000000-0005-0000-0000-00009B210000}"/>
    <cellStyle name="Note 3 2 6 2 2" xfId="8297" xr:uid="{00000000-0005-0000-0000-00009C210000}"/>
    <cellStyle name="Note 3 2 6 2 2 2" xfId="16726" xr:uid="{20ABF1E2-4C0B-4DDC-9892-163C2234DD00}"/>
    <cellStyle name="Note 3 2 6 2 2 3" xfId="25154" xr:uid="{288B4DEE-48C0-4464-91DB-C446DA5843C8}"/>
    <cellStyle name="Note 3 2 6 2 3" xfId="12508" xr:uid="{AF9483C6-71D8-4560-A2E7-18FEF4FC7ED6}"/>
    <cellStyle name="Note 3 2 6 2 4" xfId="20937" xr:uid="{458EF060-1BF9-44E4-A178-A519BA8D7220}"/>
    <cellStyle name="Note 3 2 6 3" xfId="6152" xr:uid="{00000000-0005-0000-0000-00009D210000}"/>
    <cellStyle name="Note 3 2 6 3 2" xfId="14581" xr:uid="{85ACD4C0-8B5B-40E1-9F08-423DEA09D916}"/>
    <cellStyle name="Note 3 2 6 3 3" xfId="23009" xr:uid="{BDBACB71-A993-40E1-9B09-047129174EA4}"/>
    <cellStyle name="Note 3 2 6 4" xfId="10363" xr:uid="{29E71D24-3750-40E5-A528-1CEE5AAFAD63}"/>
    <cellStyle name="Note 3 2 6 5" xfId="18792" xr:uid="{1DA6905B-7612-4D49-858F-14737BAB757C}"/>
    <cellStyle name="Note 3 2 7" xfId="2257" xr:uid="{00000000-0005-0000-0000-00009E210000}"/>
    <cellStyle name="Note 3 2 7 2" xfId="4486" xr:uid="{00000000-0005-0000-0000-00009F210000}"/>
    <cellStyle name="Note 3 2 7 2 2" xfId="8710" xr:uid="{00000000-0005-0000-0000-0000A0210000}"/>
    <cellStyle name="Note 3 2 7 2 2 2" xfId="17139" xr:uid="{FACCE431-9102-41FB-84FF-52CEEBF677DB}"/>
    <cellStyle name="Note 3 2 7 2 2 3" xfId="25567" xr:uid="{19926EA1-EB38-4DF9-8F33-1908D4087DEA}"/>
    <cellStyle name="Note 3 2 7 2 3" xfId="12921" xr:uid="{80D24FCC-331F-4808-93E3-DB39177B0883}"/>
    <cellStyle name="Note 3 2 7 2 4" xfId="21350" xr:uid="{DB0D3F61-EAA9-40A8-B7A9-9FB897001AAA}"/>
    <cellStyle name="Note 3 2 7 3" xfId="6565" xr:uid="{00000000-0005-0000-0000-0000A1210000}"/>
    <cellStyle name="Note 3 2 7 3 2" xfId="14994" xr:uid="{8F4B3A09-4BFE-4E26-B9C5-0BAF1BB19BF5}"/>
    <cellStyle name="Note 3 2 7 3 3" xfId="23422" xr:uid="{9EB94F51-914E-46B2-888F-2CD20FB08E1C}"/>
    <cellStyle name="Note 3 2 7 4" xfId="10776" xr:uid="{2FFE5E2B-BFAC-4934-A546-BE11378CFB5E}"/>
    <cellStyle name="Note 3 2 7 5" xfId="19205" xr:uid="{23BB439C-A7FA-4991-8CC7-14F1D1CFB21B}"/>
    <cellStyle name="Note 3 2 8" xfId="2693" xr:uid="{00000000-0005-0000-0000-0000A2210000}"/>
    <cellStyle name="Note 3 2 8 2" xfId="6978" xr:uid="{00000000-0005-0000-0000-0000A3210000}"/>
    <cellStyle name="Note 3 2 8 2 2" xfId="15407" xr:uid="{E15D80FB-E35D-4DEE-9E3B-CA08BAE31760}"/>
    <cellStyle name="Note 3 2 8 2 3" xfId="23835" xr:uid="{93166735-0AE7-438B-A612-D335EDD0ED7A}"/>
    <cellStyle name="Note 3 2 8 3" xfId="11189" xr:uid="{2A56A9D7-CAEB-449C-BAAA-ED2BBE333F4E}"/>
    <cellStyle name="Note 3 2 8 4" xfId="19618" xr:uid="{C7757FF5-0C0D-46B0-866A-67877D6CA827}"/>
    <cellStyle name="Note 3 2 9" xfId="2752" xr:uid="{00000000-0005-0000-0000-0000A4210000}"/>
    <cellStyle name="Note 3 3" xfId="559" xr:uid="{00000000-0005-0000-0000-0000A5210000}"/>
    <cellStyle name="Note 3 3 10" xfId="4917" xr:uid="{00000000-0005-0000-0000-0000A6210000}"/>
    <cellStyle name="Note 3 3 10 2" xfId="13346" xr:uid="{BF14130E-D198-425A-8388-F975013D8F10}"/>
    <cellStyle name="Note 3 3 10 3" xfId="21774" xr:uid="{96F1E707-CEEF-4E5F-A0AD-EED9E3438382}"/>
    <cellStyle name="Note 3 3 11" xfId="9128" xr:uid="{73996914-F311-49E7-AD6A-20BBE0E963D9}"/>
    <cellStyle name="Note 3 3 12" xfId="17557" xr:uid="{CB00AD7F-04FA-4E55-9AED-362D7242C8DD}"/>
    <cellStyle name="Note 3 3 2" xfId="560" xr:uid="{00000000-0005-0000-0000-0000A7210000}"/>
    <cellStyle name="Note 3 3 2 10" xfId="9129" xr:uid="{F67FD22D-D0D5-4549-AA7A-911F2B947CE2}"/>
    <cellStyle name="Note 3 3 2 11" xfId="17558" xr:uid="{229E3B28-043D-46E4-A5EA-F6FCE1742F7E}"/>
    <cellStyle name="Note 3 3 2 2" xfId="1020" xr:uid="{00000000-0005-0000-0000-0000A8210000}"/>
    <cellStyle name="Note 3 3 2 2 2" xfId="3252" xr:uid="{00000000-0005-0000-0000-0000A9210000}"/>
    <cellStyle name="Note 3 3 2 2 2 2" xfId="7476" xr:uid="{00000000-0005-0000-0000-0000AA210000}"/>
    <cellStyle name="Note 3 3 2 2 2 2 2" xfId="15905" xr:uid="{E29DD9D5-AF72-4D2E-8BCA-8DF361019B47}"/>
    <cellStyle name="Note 3 3 2 2 2 2 3" xfId="24333" xr:uid="{5D7E8C3A-E06E-4B07-B289-C7F777EB62CC}"/>
    <cellStyle name="Note 3 3 2 2 2 3" xfId="11687" xr:uid="{BC3A52E9-65E5-4886-A05F-4F57363C1361}"/>
    <cellStyle name="Note 3 3 2 2 2 4" xfId="20116" xr:uid="{269E6B17-6005-4E19-96A3-997B735A1B4A}"/>
    <cellStyle name="Note 3 3 2 2 3" xfId="5331" xr:uid="{00000000-0005-0000-0000-0000AB210000}"/>
    <cellStyle name="Note 3 3 2 2 3 2" xfId="13760" xr:uid="{75970D8F-121E-4648-B704-360A0B8E0436}"/>
    <cellStyle name="Note 3 3 2 2 3 3" xfId="22188" xr:uid="{C05E9436-2795-41E6-A953-1A163413C507}"/>
    <cellStyle name="Note 3 3 2 2 4" xfId="9542" xr:uid="{5AF22C34-C40E-44B7-8DFD-A62229F7EA8F}"/>
    <cellStyle name="Note 3 3 2 2 5" xfId="17971" xr:uid="{6DEEAE81-0E28-44E3-AD92-4575B2E95A57}"/>
    <cellStyle name="Note 3 3 2 3" xfId="1435" xr:uid="{00000000-0005-0000-0000-0000AC210000}"/>
    <cellStyle name="Note 3 3 2 3 2" xfId="3665" xr:uid="{00000000-0005-0000-0000-0000AD210000}"/>
    <cellStyle name="Note 3 3 2 3 2 2" xfId="7889" xr:uid="{00000000-0005-0000-0000-0000AE210000}"/>
    <cellStyle name="Note 3 3 2 3 2 2 2" xfId="16318" xr:uid="{96826F60-E018-4C26-ABF0-AB66E5AC88AB}"/>
    <cellStyle name="Note 3 3 2 3 2 2 3" xfId="24746" xr:uid="{C9AFA07D-D912-4B87-802D-DD1315673816}"/>
    <cellStyle name="Note 3 3 2 3 2 3" xfId="12100" xr:uid="{122D99A6-602E-4233-B32E-B52C31D6324F}"/>
    <cellStyle name="Note 3 3 2 3 2 4" xfId="20529" xr:uid="{3EECD551-0F4C-4046-8A2D-EF771C9E1002}"/>
    <cellStyle name="Note 3 3 2 3 3" xfId="5744" xr:uid="{00000000-0005-0000-0000-0000AF210000}"/>
    <cellStyle name="Note 3 3 2 3 3 2" xfId="14173" xr:uid="{514D800C-36D7-4592-8CB1-CA98850BA100}"/>
    <cellStyle name="Note 3 3 2 3 3 3" xfId="22601" xr:uid="{0D9867EF-7C54-439D-9C6C-C7F897C55C17}"/>
    <cellStyle name="Note 3 3 2 3 4" xfId="9955" xr:uid="{F3751570-6A16-47D1-9906-3FF373F0C42A}"/>
    <cellStyle name="Note 3 3 2 3 5" xfId="18384" xr:uid="{289BA5BA-F0DD-4313-AE77-2D3A1314D2C4}"/>
    <cellStyle name="Note 3 3 2 4" xfId="1849" xr:uid="{00000000-0005-0000-0000-0000B0210000}"/>
    <cellStyle name="Note 3 3 2 4 2" xfId="4078" xr:uid="{00000000-0005-0000-0000-0000B1210000}"/>
    <cellStyle name="Note 3 3 2 4 2 2" xfId="8302" xr:uid="{00000000-0005-0000-0000-0000B2210000}"/>
    <cellStyle name="Note 3 3 2 4 2 2 2" xfId="16731" xr:uid="{22BF46C1-003D-4548-962E-19DDD68DB4E7}"/>
    <cellStyle name="Note 3 3 2 4 2 2 3" xfId="25159" xr:uid="{608188F8-8C62-4E9D-8F1A-86BDDCB0D8F0}"/>
    <cellStyle name="Note 3 3 2 4 2 3" xfId="12513" xr:uid="{9393DE3B-679D-41C8-A526-6BEB62C68916}"/>
    <cellStyle name="Note 3 3 2 4 2 4" xfId="20942" xr:uid="{F154D93B-6B45-45EF-B361-16C1D3424D4A}"/>
    <cellStyle name="Note 3 3 2 4 3" xfId="6157" xr:uid="{00000000-0005-0000-0000-0000B3210000}"/>
    <cellStyle name="Note 3 3 2 4 3 2" xfId="14586" xr:uid="{6A228B81-50F6-458D-A182-0B9078E9CED0}"/>
    <cellStyle name="Note 3 3 2 4 3 3" xfId="23014" xr:uid="{9699E0A3-DF3A-451E-A9FE-41950F35CAF9}"/>
    <cellStyle name="Note 3 3 2 4 4" xfId="10368" xr:uid="{937F11B9-93A0-40BB-A4A3-936E6980F962}"/>
    <cellStyle name="Note 3 3 2 4 5" xfId="18797" xr:uid="{36DBC824-D750-4F8E-B381-1603D8805D36}"/>
    <cellStyle name="Note 3 3 2 5" xfId="2262" xr:uid="{00000000-0005-0000-0000-0000B4210000}"/>
    <cellStyle name="Note 3 3 2 5 2" xfId="4491" xr:uid="{00000000-0005-0000-0000-0000B5210000}"/>
    <cellStyle name="Note 3 3 2 5 2 2" xfId="8715" xr:uid="{00000000-0005-0000-0000-0000B6210000}"/>
    <cellStyle name="Note 3 3 2 5 2 2 2" xfId="17144" xr:uid="{9F32B5AC-0400-4A3A-A7FD-DCA474B5381C}"/>
    <cellStyle name="Note 3 3 2 5 2 2 3" xfId="25572" xr:uid="{A107ED58-C9E2-4000-ABD6-969BFA4A99BA}"/>
    <cellStyle name="Note 3 3 2 5 2 3" xfId="12926" xr:uid="{87BD6D7E-FB68-446E-AD8E-22A3ADFAEAAF}"/>
    <cellStyle name="Note 3 3 2 5 2 4" xfId="21355" xr:uid="{115182B7-BA84-4F3C-B921-B18BBA69E8AC}"/>
    <cellStyle name="Note 3 3 2 5 3" xfId="6570" xr:uid="{00000000-0005-0000-0000-0000B7210000}"/>
    <cellStyle name="Note 3 3 2 5 3 2" xfId="14999" xr:uid="{0253DD78-BC9E-4D11-9B98-877A1397FE24}"/>
    <cellStyle name="Note 3 3 2 5 3 3" xfId="23427" xr:uid="{04FCC130-0973-4C3E-9EDE-35DD9EBDF899}"/>
    <cellStyle name="Note 3 3 2 5 4" xfId="10781" xr:uid="{7F5A8972-832C-427A-8EFB-B9E07B11ABA8}"/>
    <cellStyle name="Note 3 3 2 5 5" xfId="19210" xr:uid="{F6EDFCBC-6599-4512-888C-E5586E07DA62}"/>
    <cellStyle name="Note 3 3 2 6" xfId="2698" xr:uid="{00000000-0005-0000-0000-0000B8210000}"/>
    <cellStyle name="Note 3 3 2 6 2" xfId="6983" xr:uid="{00000000-0005-0000-0000-0000B9210000}"/>
    <cellStyle name="Note 3 3 2 6 2 2" xfId="15412" xr:uid="{BB690813-334B-4EF0-9D95-A7D58D549983}"/>
    <cellStyle name="Note 3 3 2 6 2 3" xfId="23840" xr:uid="{765216C4-8892-4805-8BF7-0ECD8AE614E7}"/>
    <cellStyle name="Note 3 3 2 6 3" xfId="11194" xr:uid="{26040103-0733-4BAA-8DB6-A2E8CA7633D1}"/>
    <cellStyle name="Note 3 3 2 6 4" xfId="19623" xr:uid="{458AF512-A495-47A6-A8A8-C709E1ED7661}"/>
    <cellStyle name="Note 3 3 2 7" xfId="2757" xr:uid="{00000000-0005-0000-0000-0000BA210000}"/>
    <cellStyle name="Note 3 3 2 8" xfId="2838" xr:uid="{00000000-0005-0000-0000-0000BB210000}"/>
    <cellStyle name="Note 3 3 2 8 2" xfId="7063" xr:uid="{00000000-0005-0000-0000-0000BC210000}"/>
    <cellStyle name="Note 3 3 2 8 2 2" xfId="15492" xr:uid="{77F3DA2B-6B2B-4A96-B315-37A5A4708F3C}"/>
    <cellStyle name="Note 3 3 2 8 2 3" xfId="23920" xr:uid="{968DBB66-75BB-4822-9A5E-DD5A7F4475AD}"/>
    <cellStyle name="Note 3 3 2 8 3" xfId="11274" xr:uid="{42499D96-3CDB-46F4-99DC-A761EFDA0830}"/>
    <cellStyle name="Note 3 3 2 8 4" xfId="19703" xr:uid="{60049382-392C-4851-B219-E944DE0942DC}"/>
    <cellStyle name="Note 3 3 2 9" xfId="4918" xr:uid="{00000000-0005-0000-0000-0000BD210000}"/>
    <cellStyle name="Note 3 3 2 9 2" xfId="13347" xr:uid="{4E440F5D-CEE7-40B7-9F8D-7CCAC474064E}"/>
    <cellStyle name="Note 3 3 2 9 3" xfId="21775" xr:uid="{2DD0AC36-0CFA-4E37-943F-9B5047DC8F9F}"/>
    <cellStyle name="Note 3 3 3" xfId="1019" xr:uid="{00000000-0005-0000-0000-0000BE210000}"/>
    <cellStyle name="Note 3 3 3 2" xfId="3251" xr:uid="{00000000-0005-0000-0000-0000BF210000}"/>
    <cellStyle name="Note 3 3 3 2 2" xfId="7475" xr:uid="{00000000-0005-0000-0000-0000C0210000}"/>
    <cellStyle name="Note 3 3 3 2 2 2" xfId="15904" xr:uid="{B76ED0EA-5BD6-4A74-81E8-C2F02BCE5210}"/>
    <cellStyle name="Note 3 3 3 2 2 3" xfId="24332" xr:uid="{8EC85768-63F8-4067-A46F-3354E8148EBA}"/>
    <cellStyle name="Note 3 3 3 2 3" xfId="11686" xr:uid="{BB77B9BE-49C2-407A-8FB4-C1C26CA979CB}"/>
    <cellStyle name="Note 3 3 3 2 4" xfId="20115" xr:uid="{15917F90-B172-4C88-96F3-54FED6452DFB}"/>
    <cellStyle name="Note 3 3 3 3" xfId="5330" xr:uid="{00000000-0005-0000-0000-0000C1210000}"/>
    <cellStyle name="Note 3 3 3 3 2" xfId="13759" xr:uid="{6B0AF416-9996-4220-BB66-F8ACA61A70A3}"/>
    <cellStyle name="Note 3 3 3 3 3" xfId="22187" xr:uid="{3D81DDC9-7CFD-40AC-9968-8364716669FB}"/>
    <cellStyle name="Note 3 3 3 4" xfId="9541" xr:uid="{FF2287CE-6CB9-4C4D-B500-7B86D5A1F695}"/>
    <cellStyle name="Note 3 3 3 5" xfId="17970" xr:uid="{D718D04D-7C82-4496-B196-F6620F9932AA}"/>
    <cellStyle name="Note 3 3 4" xfId="1434" xr:uid="{00000000-0005-0000-0000-0000C2210000}"/>
    <cellStyle name="Note 3 3 4 2" xfId="3664" xr:uid="{00000000-0005-0000-0000-0000C3210000}"/>
    <cellStyle name="Note 3 3 4 2 2" xfId="7888" xr:uid="{00000000-0005-0000-0000-0000C4210000}"/>
    <cellStyle name="Note 3 3 4 2 2 2" xfId="16317" xr:uid="{36FF589B-944A-43B0-A211-9BABB3607763}"/>
    <cellStyle name="Note 3 3 4 2 2 3" xfId="24745" xr:uid="{3D3D5DF1-A4B7-476C-BC6A-B38AB101A60D}"/>
    <cellStyle name="Note 3 3 4 2 3" xfId="12099" xr:uid="{818A4E1F-304C-443A-AFE6-93025E89134F}"/>
    <cellStyle name="Note 3 3 4 2 4" xfId="20528" xr:uid="{BC6F0D32-AFFD-4A0B-A263-476366DEC6B6}"/>
    <cellStyle name="Note 3 3 4 3" xfId="5743" xr:uid="{00000000-0005-0000-0000-0000C5210000}"/>
    <cellStyle name="Note 3 3 4 3 2" xfId="14172" xr:uid="{5D798E71-0BC0-4C20-B040-39055CE40434}"/>
    <cellStyle name="Note 3 3 4 3 3" xfId="22600" xr:uid="{ED6FF9A4-F94F-4649-A33F-DB43A9A4BF7C}"/>
    <cellStyle name="Note 3 3 4 4" xfId="9954" xr:uid="{31D2EEA3-0344-4AB5-82C0-5EEA0A46A68F}"/>
    <cellStyle name="Note 3 3 4 5" xfId="18383" xr:uid="{8A5743AC-399F-4038-8219-5DF137B23D65}"/>
    <cellStyle name="Note 3 3 5" xfId="1848" xr:uid="{00000000-0005-0000-0000-0000C6210000}"/>
    <cellStyle name="Note 3 3 5 2" xfId="4077" xr:uid="{00000000-0005-0000-0000-0000C7210000}"/>
    <cellStyle name="Note 3 3 5 2 2" xfId="8301" xr:uid="{00000000-0005-0000-0000-0000C8210000}"/>
    <cellStyle name="Note 3 3 5 2 2 2" xfId="16730" xr:uid="{FCE25B8B-D0C3-4CC9-80CF-CEEE4A424248}"/>
    <cellStyle name="Note 3 3 5 2 2 3" xfId="25158" xr:uid="{C784081B-C095-4520-9EFE-84BC93E249BE}"/>
    <cellStyle name="Note 3 3 5 2 3" xfId="12512" xr:uid="{A376EE2C-323B-4C24-AFA4-74C2B184A146}"/>
    <cellStyle name="Note 3 3 5 2 4" xfId="20941" xr:uid="{2D6430A1-DCB2-4655-9008-E4C22455DF17}"/>
    <cellStyle name="Note 3 3 5 3" xfId="6156" xr:uid="{00000000-0005-0000-0000-0000C9210000}"/>
    <cellStyle name="Note 3 3 5 3 2" xfId="14585" xr:uid="{94942A6A-8881-4E70-856F-F189A99E2E1E}"/>
    <cellStyle name="Note 3 3 5 3 3" xfId="23013" xr:uid="{A4867679-2DF9-4C9C-8175-FE01114AC0C9}"/>
    <cellStyle name="Note 3 3 5 4" xfId="10367" xr:uid="{429C3723-D798-48CD-BEE6-4F5BCFF6F2BE}"/>
    <cellStyle name="Note 3 3 5 5" xfId="18796" xr:uid="{8A82ED54-4B2E-4025-9084-03923EFA76B5}"/>
    <cellStyle name="Note 3 3 6" xfId="2261" xr:uid="{00000000-0005-0000-0000-0000CA210000}"/>
    <cellStyle name="Note 3 3 6 2" xfId="4490" xr:uid="{00000000-0005-0000-0000-0000CB210000}"/>
    <cellStyle name="Note 3 3 6 2 2" xfId="8714" xr:uid="{00000000-0005-0000-0000-0000CC210000}"/>
    <cellStyle name="Note 3 3 6 2 2 2" xfId="17143" xr:uid="{B7D09297-CB78-4A2A-8874-7F4B9F8C8E7F}"/>
    <cellStyle name="Note 3 3 6 2 2 3" xfId="25571" xr:uid="{354DDAA0-03B7-4116-BD7B-055B18A048DC}"/>
    <cellStyle name="Note 3 3 6 2 3" xfId="12925" xr:uid="{5CF0298B-82D5-42BB-993A-B51EC658BCAA}"/>
    <cellStyle name="Note 3 3 6 2 4" xfId="21354" xr:uid="{89A31283-8AD9-4D6B-8ED4-EE1BC62F77F6}"/>
    <cellStyle name="Note 3 3 6 3" xfId="6569" xr:uid="{00000000-0005-0000-0000-0000CD210000}"/>
    <cellStyle name="Note 3 3 6 3 2" xfId="14998" xr:uid="{190BA6F0-4BCB-4433-9FBE-522A44165983}"/>
    <cellStyle name="Note 3 3 6 3 3" xfId="23426" xr:uid="{ECDBB89C-6F7E-4F5B-9B90-DAC50194B0B7}"/>
    <cellStyle name="Note 3 3 6 4" xfId="10780" xr:uid="{00F49A30-385D-4CAA-BA61-76A049B7B75C}"/>
    <cellStyle name="Note 3 3 6 5" xfId="19209" xr:uid="{5EA3BD05-BC2F-4EE6-8D61-238CF8BB2C56}"/>
    <cellStyle name="Note 3 3 7" xfId="2697" xr:uid="{00000000-0005-0000-0000-0000CE210000}"/>
    <cellStyle name="Note 3 3 7 2" xfId="6982" xr:uid="{00000000-0005-0000-0000-0000CF210000}"/>
    <cellStyle name="Note 3 3 7 2 2" xfId="15411" xr:uid="{899A388C-7AEB-40B5-BF48-303030BBCC82}"/>
    <cellStyle name="Note 3 3 7 2 3" xfId="23839" xr:uid="{C7AFC601-4678-45AE-9E9D-34D428AD0B49}"/>
    <cellStyle name="Note 3 3 7 3" xfId="11193" xr:uid="{992C9F75-AF71-4B26-A2B4-63A6D0971148}"/>
    <cellStyle name="Note 3 3 7 4" xfId="19622" xr:uid="{9943DFCC-5EA8-42D6-95E0-EDFB690DE7C4}"/>
    <cellStyle name="Note 3 3 8" xfId="2756" xr:uid="{00000000-0005-0000-0000-0000D0210000}"/>
    <cellStyle name="Note 3 3 9" xfId="2837" xr:uid="{00000000-0005-0000-0000-0000D1210000}"/>
    <cellStyle name="Note 3 3 9 2" xfId="7062" xr:uid="{00000000-0005-0000-0000-0000D2210000}"/>
    <cellStyle name="Note 3 3 9 2 2" xfId="15491" xr:uid="{AD1C2F16-A0AB-4619-BAF9-1F6AE6F8888E}"/>
    <cellStyle name="Note 3 3 9 2 3" xfId="23919" xr:uid="{61A02C11-DF69-48ED-A9EB-146A0AE70C82}"/>
    <cellStyle name="Note 3 3 9 3" xfId="11273" xr:uid="{CD4E8357-7A9D-49CD-AD7E-120ADD36F83C}"/>
    <cellStyle name="Note 3 3 9 4" xfId="19702" xr:uid="{CC65E947-30A6-425B-8BF8-E2842ED77D70}"/>
    <cellStyle name="Note 3 4" xfId="561" xr:uid="{00000000-0005-0000-0000-0000D3210000}"/>
    <cellStyle name="Note 3 4 10" xfId="9130" xr:uid="{0046F5B0-8E93-4EE7-81AC-8E5CC32DEACE}"/>
    <cellStyle name="Note 3 4 11" xfId="17559" xr:uid="{F0B28CCC-BF3A-4338-9AE8-171A1A565CFB}"/>
    <cellStyle name="Note 3 4 2" xfId="1021" xr:uid="{00000000-0005-0000-0000-0000D4210000}"/>
    <cellStyle name="Note 3 4 2 2" xfId="3253" xr:uid="{00000000-0005-0000-0000-0000D5210000}"/>
    <cellStyle name="Note 3 4 2 2 2" xfId="7477" xr:uid="{00000000-0005-0000-0000-0000D6210000}"/>
    <cellStyle name="Note 3 4 2 2 2 2" xfId="15906" xr:uid="{5E802E6C-E2FC-4E3E-940A-5D8F326D5258}"/>
    <cellStyle name="Note 3 4 2 2 2 3" xfId="24334" xr:uid="{A51F3D54-AFA7-4129-8C6F-A883B58560D5}"/>
    <cellStyle name="Note 3 4 2 2 3" xfId="11688" xr:uid="{56703F1C-8AB8-4DE9-ACAC-E12BDA587F7F}"/>
    <cellStyle name="Note 3 4 2 2 4" xfId="20117" xr:uid="{3EA4D9A5-8570-4C16-B94A-57B0D15AD89A}"/>
    <cellStyle name="Note 3 4 2 3" xfId="5332" xr:uid="{00000000-0005-0000-0000-0000D7210000}"/>
    <cellStyle name="Note 3 4 2 3 2" xfId="13761" xr:uid="{6BBF6911-2790-4C44-A0E5-87EEB9AF5A74}"/>
    <cellStyle name="Note 3 4 2 3 3" xfId="22189" xr:uid="{C814ADBF-07C4-4CAA-BFF4-BBD5C0ECD504}"/>
    <cellStyle name="Note 3 4 2 4" xfId="9543" xr:uid="{DFE5A154-9A2D-4252-A3BE-B601690F215F}"/>
    <cellStyle name="Note 3 4 2 5" xfId="17972" xr:uid="{15C729EC-3246-4E92-91A9-2A46333CA86F}"/>
    <cellStyle name="Note 3 4 3" xfId="1436" xr:uid="{00000000-0005-0000-0000-0000D8210000}"/>
    <cellStyle name="Note 3 4 3 2" xfId="3666" xr:uid="{00000000-0005-0000-0000-0000D9210000}"/>
    <cellStyle name="Note 3 4 3 2 2" xfId="7890" xr:uid="{00000000-0005-0000-0000-0000DA210000}"/>
    <cellStyle name="Note 3 4 3 2 2 2" xfId="16319" xr:uid="{36BB7DAA-5D6C-419A-8832-34CA68BE6166}"/>
    <cellStyle name="Note 3 4 3 2 2 3" xfId="24747" xr:uid="{9719B763-0BA3-49B3-B624-1808CFDEC877}"/>
    <cellStyle name="Note 3 4 3 2 3" xfId="12101" xr:uid="{FC31CB08-9E67-4D7D-A31F-DFCFDD8390C2}"/>
    <cellStyle name="Note 3 4 3 2 4" xfId="20530" xr:uid="{FAB03ED4-8317-466C-9822-76430DE58E8F}"/>
    <cellStyle name="Note 3 4 3 3" xfId="5745" xr:uid="{00000000-0005-0000-0000-0000DB210000}"/>
    <cellStyle name="Note 3 4 3 3 2" xfId="14174" xr:uid="{6DC2E542-325E-4C12-B4A6-5CA7337A6F0A}"/>
    <cellStyle name="Note 3 4 3 3 3" xfId="22602" xr:uid="{EE1C28DA-76DD-45DD-B99C-84B1AAF85465}"/>
    <cellStyle name="Note 3 4 3 4" xfId="9956" xr:uid="{27F1443C-D474-4615-B60B-9A9CF958AE27}"/>
    <cellStyle name="Note 3 4 3 5" xfId="18385" xr:uid="{298EBDB5-86FD-45AC-BE40-F0694BCB1C7E}"/>
    <cellStyle name="Note 3 4 4" xfId="1850" xr:uid="{00000000-0005-0000-0000-0000DC210000}"/>
    <cellStyle name="Note 3 4 4 2" xfId="4079" xr:uid="{00000000-0005-0000-0000-0000DD210000}"/>
    <cellStyle name="Note 3 4 4 2 2" xfId="8303" xr:uid="{00000000-0005-0000-0000-0000DE210000}"/>
    <cellStyle name="Note 3 4 4 2 2 2" xfId="16732" xr:uid="{6E9E6074-8028-48D5-B796-D805EA214DE1}"/>
    <cellStyle name="Note 3 4 4 2 2 3" xfId="25160" xr:uid="{0C5B0080-705D-4BA9-8372-F895D2467588}"/>
    <cellStyle name="Note 3 4 4 2 3" xfId="12514" xr:uid="{15CFFEDD-DD04-4D33-8C16-464E670C6E38}"/>
    <cellStyle name="Note 3 4 4 2 4" xfId="20943" xr:uid="{B280F4DA-59B5-4E96-8A23-C10EB9FCA335}"/>
    <cellStyle name="Note 3 4 4 3" xfId="6158" xr:uid="{00000000-0005-0000-0000-0000DF210000}"/>
    <cellStyle name="Note 3 4 4 3 2" xfId="14587" xr:uid="{F3D8CCFC-ADE5-4760-9685-9153EFE535E3}"/>
    <cellStyle name="Note 3 4 4 3 3" xfId="23015" xr:uid="{4EB61CCE-BA64-4F0B-B66D-4517BF97C228}"/>
    <cellStyle name="Note 3 4 4 4" xfId="10369" xr:uid="{6EDBFD83-62CC-470F-9216-8CADB0A81B79}"/>
    <cellStyle name="Note 3 4 4 5" xfId="18798" xr:uid="{A9E6ED42-325E-438B-AC81-FDC7BE06F5B0}"/>
    <cellStyle name="Note 3 4 5" xfId="2263" xr:uid="{00000000-0005-0000-0000-0000E0210000}"/>
    <cellStyle name="Note 3 4 5 2" xfId="4492" xr:uid="{00000000-0005-0000-0000-0000E1210000}"/>
    <cellStyle name="Note 3 4 5 2 2" xfId="8716" xr:uid="{00000000-0005-0000-0000-0000E2210000}"/>
    <cellStyle name="Note 3 4 5 2 2 2" xfId="17145" xr:uid="{B956685D-0785-499C-83E0-A69E0B84BB4A}"/>
    <cellStyle name="Note 3 4 5 2 2 3" xfId="25573" xr:uid="{E716A96D-E56C-492F-98DC-AD22D5B4AF49}"/>
    <cellStyle name="Note 3 4 5 2 3" xfId="12927" xr:uid="{85C55328-4C5F-45B7-AA95-996FA5BAAF85}"/>
    <cellStyle name="Note 3 4 5 2 4" xfId="21356" xr:uid="{6349797A-CB0E-4241-925B-F3F2C6D33103}"/>
    <cellStyle name="Note 3 4 5 3" xfId="6571" xr:uid="{00000000-0005-0000-0000-0000E3210000}"/>
    <cellStyle name="Note 3 4 5 3 2" xfId="15000" xr:uid="{1E3E8B4C-1B09-4319-97A4-64B9F3EFE295}"/>
    <cellStyle name="Note 3 4 5 3 3" xfId="23428" xr:uid="{F4418732-4F41-4DC0-A891-A813596B3764}"/>
    <cellStyle name="Note 3 4 5 4" xfId="10782" xr:uid="{51CEC440-F110-4C9E-9230-F14B0F3EAA1A}"/>
    <cellStyle name="Note 3 4 5 5" xfId="19211" xr:uid="{5EED4D81-372D-4E42-BD92-5B235A75773A}"/>
    <cellStyle name="Note 3 4 6" xfId="2699" xr:uid="{00000000-0005-0000-0000-0000E4210000}"/>
    <cellStyle name="Note 3 4 6 2" xfId="6984" xr:uid="{00000000-0005-0000-0000-0000E5210000}"/>
    <cellStyle name="Note 3 4 6 2 2" xfId="15413" xr:uid="{C2015815-BC04-4CB0-B41A-F0F86DAF39BA}"/>
    <cellStyle name="Note 3 4 6 2 3" xfId="23841" xr:uid="{C50A964D-3AEA-40A9-AAAA-EC287DF99FB0}"/>
    <cellStyle name="Note 3 4 6 3" xfId="11195" xr:uid="{919FE5DE-F4DC-482E-856B-F86699148B20}"/>
    <cellStyle name="Note 3 4 6 4" xfId="19624" xr:uid="{C05702E9-06A4-454F-AD52-19C73B525A77}"/>
    <cellStyle name="Note 3 4 7" xfId="2758" xr:uid="{00000000-0005-0000-0000-0000E6210000}"/>
    <cellStyle name="Note 3 4 8" xfId="2839" xr:uid="{00000000-0005-0000-0000-0000E7210000}"/>
    <cellStyle name="Note 3 4 8 2" xfId="7064" xr:uid="{00000000-0005-0000-0000-0000E8210000}"/>
    <cellStyle name="Note 3 4 8 2 2" xfId="15493" xr:uid="{C9E1AFC0-E26E-44CF-9CC1-2FE169F06325}"/>
    <cellStyle name="Note 3 4 8 2 3" xfId="23921" xr:uid="{EA679331-7429-464C-886A-F3D96B5FF6DB}"/>
    <cellStyle name="Note 3 4 8 3" xfId="11275" xr:uid="{EF14ED3A-DCFF-4360-9617-BA44CEF8F146}"/>
    <cellStyle name="Note 3 4 8 4" xfId="19704" xr:uid="{8B7B28F7-B2CE-4F5F-9C7C-CB8149A364A7}"/>
    <cellStyle name="Note 3 4 9" xfId="4919" xr:uid="{00000000-0005-0000-0000-0000E9210000}"/>
    <cellStyle name="Note 3 4 9 2" xfId="13348" xr:uid="{F78C0AA7-DAE8-4600-95B4-ADE1D2070763}"/>
    <cellStyle name="Note 3 4 9 3" xfId="21776" xr:uid="{59ECD086-4D29-45FE-8222-F08DE403DC01}"/>
    <cellStyle name="Note 3 5" xfId="562" xr:uid="{00000000-0005-0000-0000-0000EA210000}"/>
    <cellStyle name="Note 3 5 10" xfId="9131" xr:uid="{2AADC562-FCEF-47B7-8FC0-94FA78E43200}"/>
    <cellStyle name="Note 3 5 11" xfId="17560" xr:uid="{E06CE5EE-05E4-4B3F-B9FE-F7055DFC8E35}"/>
    <cellStyle name="Note 3 5 2" xfId="1022" xr:uid="{00000000-0005-0000-0000-0000EB210000}"/>
    <cellStyle name="Note 3 5 2 2" xfId="3254" xr:uid="{00000000-0005-0000-0000-0000EC210000}"/>
    <cellStyle name="Note 3 5 2 2 2" xfId="7478" xr:uid="{00000000-0005-0000-0000-0000ED210000}"/>
    <cellStyle name="Note 3 5 2 2 2 2" xfId="15907" xr:uid="{DCE44E5B-E5A2-4FF5-AB97-F189566428DF}"/>
    <cellStyle name="Note 3 5 2 2 2 3" xfId="24335" xr:uid="{7BC414A7-91AC-49F7-B831-A68BBE4F0846}"/>
    <cellStyle name="Note 3 5 2 2 3" xfId="11689" xr:uid="{B5E7D171-FF7C-456B-8DB7-A08B9BB7D636}"/>
    <cellStyle name="Note 3 5 2 2 4" xfId="20118" xr:uid="{F9F2EC01-1C06-4A3F-A8BB-E774ED633C4B}"/>
    <cellStyle name="Note 3 5 2 3" xfId="5333" xr:uid="{00000000-0005-0000-0000-0000EE210000}"/>
    <cellStyle name="Note 3 5 2 3 2" xfId="13762" xr:uid="{3356EB3E-784E-4719-8E44-EF6931868BEE}"/>
    <cellStyle name="Note 3 5 2 3 3" xfId="22190" xr:uid="{C869212D-8DFD-4972-828B-7BEECCDCAF6A}"/>
    <cellStyle name="Note 3 5 2 4" xfId="9544" xr:uid="{076114DE-8B14-4DF3-BCC3-83C75073E449}"/>
    <cellStyle name="Note 3 5 2 5" xfId="17973" xr:uid="{0F0FB94C-D3A1-4EB1-AB06-533E694DE49D}"/>
    <cellStyle name="Note 3 5 3" xfId="1437" xr:uid="{00000000-0005-0000-0000-0000EF210000}"/>
    <cellStyle name="Note 3 5 3 2" xfId="3667" xr:uid="{00000000-0005-0000-0000-0000F0210000}"/>
    <cellStyle name="Note 3 5 3 2 2" xfId="7891" xr:uid="{00000000-0005-0000-0000-0000F1210000}"/>
    <cellStyle name="Note 3 5 3 2 2 2" xfId="16320" xr:uid="{6EB5F1AD-5DDF-4DA4-9C8C-6C24828D9F1B}"/>
    <cellStyle name="Note 3 5 3 2 2 3" xfId="24748" xr:uid="{D87731A9-89C3-47DC-885E-9CADAD9C5EB1}"/>
    <cellStyle name="Note 3 5 3 2 3" xfId="12102" xr:uid="{0F4EC4ED-E6AB-48D3-991E-9DF11CBD9B0A}"/>
    <cellStyle name="Note 3 5 3 2 4" xfId="20531" xr:uid="{86F42B6E-2947-431E-8C14-2DD6087152AF}"/>
    <cellStyle name="Note 3 5 3 3" xfId="5746" xr:uid="{00000000-0005-0000-0000-0000F2210000}"/>
    <cellStyle name="Note 3 5 3 3 2" xfId="14175" xr:uid="{3854DAFF-9EF7-4529-8F95-761DE589BF6A}"/>
    <cellStyle name="Note 3 5 3 3 3" xfId="22603" xr:uid="{67331DDB-DE34-4D7D-8E54-A0AD6F2F19F5}"/>
    <cellStyle name="Note 3 5 3 4" xfId="9957" xr:uid="{C2FF71D3-F536-42D3-A192-6F23C4ADBACF}"/>
    <cellStyle name="Note 3 5 3 5" xfId="18386" xr:uid="{08CDDA1A-0B12-4B4E-B73D-17D8716886FF}"/>
    <cellStyle name="Note 3 5 4" xfId="1851" xr:uid="{00000000-0005-0000-0000-0000F3210000}"/>
    <cellStyle name="Note 3 5 4 2" xfId="4080" xr:uid="{00000000-0005-0000-0000-0000F4210000}"/>
    <cellStyle name="Note 3 5 4 2 2" xfId="8304" xr:uid="{00000000-0005-0000-0000-0000F5210000}"/>
    <cellStyle name="Note 3 5 4 2 2 2" xfId="16733" xr:uid="{D9A0647A-BF31-4E9F-BD7E-40B56BAA957F}"/>
    <cellStyle name="Note 3 5 4 2 2 3" xfId="25161" xr:uid="{A23A994B-3ABC-4EB4-B53E-13C9A7ED52FE}"/>
    <cellStyle name="Note 3 5 4 2 3" xfId="12515" xr:uid="{DE7A9654-5B4C-4D24-B70B-E6D6AA7DEC36}"/>
    <cellStyle name="Note 3 5 4 2 4" xfId="20944" xr:uid="{6968F90D-36AF-49CB-997B-BAB412ADCE06}"/>
    <cellStyle name="Note 3 5 4 3" xfId="6159" xr:uid="{00000000-0005-0000-0000-0000F6210000}"/>
    <cellStyle name="Note 3 5 4 3 2" xfId="14588" xr:uid="{BB9315A6-BC59-4B73-A1FF-82F8166DF44F}"/>
    <cellStyle name="Note 3 5 4 3 3" xfId="23016" xr:uid="{04396E07-4A15-40C9-962E-CE491AF7EEB9}"/>
    <cellStyle name="Note 3 5 4 4" xfId="10370" xr:uid="{D3D2DD4E-525B-45A8-A2F7-A70E5E7E3BBC}"/>
    <cellStyle name="Note 3 5 4 5" xfId="18799" xr:uid="{86D59096-29E1-4641-9D04-954C88B59FFA}"/>
    <cellStyle name="Note 3 5 5" xfId="2264" xr:uid="{00000000-0005-0000-0000-0000F7210000}"/>
    <cellStyle name="Note 3 5 5 2" xfId="4493" xr:uid="{00000000-0005-0000-0000-0000F8210000}"/>
    <cellStyle name="Note 3 5 5 2 2" xfId="8717" xr:uid="{00000000-0005-0000-0000-0000F9210000}"/>
    <cellStyle name="Note 3 5 5 2 2 2" xfId="17146" xr:uid="{925BC97A-8E85-4FE7-997D-3AE09CA248DA}"/>
    <cellStyle name="Note 3 5 5 2 2 3" xfId="25574" xr:uid="{E121BDF0-70E0-41CB-B1F4-CC154247F33C}"/>
    <cellStyle name="Note 3 5 5 2 3" xfId="12928" xr:uid="{A65D219D-B8D3-46BD-BD3D-56C8209037A4}"/>
    <cellStyle name="Note 3 5 5 2 4" xfId="21357" xr:uid="{D9165771-B1EA-44FB-8429-40FB61F5FD30}"/>
    <cellStyle name="Note 3 5 5 3" xfId="6572" xr:uid="{00000000-0005-0000-0000-0000FA210000}"/>
    <cellStyle name="Note 3 5 5 3 2" xfId="15001" xr:uid="{BE715207-893C-41D9-8BC9-349333CF34BB}"/>
    <cellStyle name="Note 3 5 5 3 3" xfId="23429" xr:uid="{E91942D3-A7D4-41D0-8311-6F03B6656CEA}"/>
    <cellStyle name="Note 3 5 5 4" xfId="10783" xr:uid="{A6A2D5C9-596C-4BF5-B32A-D5542FE6EBF9}"/>
    <cellStyle name="Note 3 5 5 5" xfId="19212" xr:uid="{B1CBCD93-3CCD-4D81-A280-F19A79EC57C8}"/>
    <cellStyle name="Note 3 5 6" xfId="2700" xr:uid="{00000000-0005-0000-0000-0000FB210000}"/>
    <cellStyle name="Note 3 5 6 2" xfId="6985" xr:uid="{00000000-0005-0000-0000-0000FC210000}"/>
    <cellStyle name="Note 3 5 6 2 2" xfId="15414" xr:uid="{1003C51F-D3CE-41BC-AAD0-E8817C1F9448}"/>
    <cellStyle name="Note 3 5 6 2 3" xfId="23842" xr:uid="{6E59C4AE-DC6C-41A6-8A50-8A2D79E8AD43}"/>
    <cellStyle name="Note 3 5 6 3" xfId="11196" xr:uid="{516EFA8D-BB08-4A0B-A3DE-72A9BFA7A4DC}"/>
    <cellStyle name="Note 3 5 6 4" xfId="19625" xr:uid="{4805F5D0-C0D6-475B-9C56-2FA220800810}"/>
    <cellStyle name="Note 3 5 7" xfId="2759" xr:uid="{00000000-0005-0000-0000-0000FD210000}"/>
    <cellStyle name="Note 3 5 8" xfId="2840" xr:uid="{00000000-0005-0000-0000-0000FE210000}"/>
    <cellStyle name="Note 3 5 8 2" xfId="7065" xr:uid="{00000000-0005-0000-0000-0000FF210000}"/>
    <cellStyle name="Note 3 5 8 2 2" xfId="15494" xr:uid="{01DE1C47-1F41-4082-B3AC-8A7CA5B6EBB2}"/>
    <cellStyle name="Note 3 5 8 2 3" xfId="23922" xr:uid="{8D812A65-33ED-4F5C-AF18-48CFF7B882C9}"/>
    <cellStyle name="Note 3 5 8 3" xfId="11276" xr:uid="{981928E7-E736-4559-8948-1D677149E994}"/>
    <cellStyle name="Note 3 5 8 4" xfId="19705" xr:uid="{6D093A1F-77F8-41BC-A848-8391FD6E9DC7}"/>
    <cellStyle name="Note 3 5 9" xfId="4920" xr:uid="{00000000-0005-0000-0000-000000220000}"/>
    <cellStyle name="Note 3 5 9 2" xfId="13349" xr:uid="{76E8C069-1B08-4665-BEB6-880B3FC1D10A}"/>
    <cellStyle name="Note 3 5 9 3" xfId="21777" xr:uid="{1BA3C86D-29B6-46A0-82C4-1CAF7B2D1FBA}"/>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12932" xr:uid="{79C9C0DF-0CC1-4090-8815-E1847E66405E}"/>
    <cellStyle name="Percent 3 3" xfId="21360" xr:uid="{EF929D59-36DF-4CA5-A872-F63A99ACE5A2}"/>
    <cellStyle name="Percent 4" xfId="4503" xr:uid="{00000000-0005-0000-0000-000006220000}"/>
    <cellStyle name="Percent 4 2" xfId="12935" xr:uid="{0FA72AC1-A5BC-4E10-A40E-D715DC79608C}"/>
    <cellStyle name="Percent 4 3" xfId="21363" xr:uid="{B5592C5E-DED5-4C1F-BE34-7753BAAC324E}"/>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143924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74" t="s">
        <v>582</v>
      </c>
      <c r="B1" s="1874"/>
      <c r="C1" s="1874"/>
      <c r="D1" s="1874"/>
      <c r="E1" s="1874"/>
      <c r="F1" s="1874"/>
      <c r="G1" s="1874"/>
      <c r="H1" s="1874"/>
      <c r="I1" s="1874"/>
      <c r="J1" s="1874"/>
      <c r="K1" s="1874"/>
      <c r="L1" s="1874"/>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row>
    <row r="2" spans="1:38" ht="13.5" thickBot="1">
      <c r="A2" s="1875"/>
      <c r="B2" s="1875"/>
      <c r="C2" s="1875"/>
      <c r="D2" s="1875"/>
      <c r="E2" s="1875"/>
      <c r="F2" s="1875"/>
      <c r="G2" s="1875"/>
      <c r="H2" s="1875"/>
      <c r="I2" s="1875"/>
      <c r="J2" s="1875"/>
      <c r="K2" s="1875"/>
      <c r="L2" s="1875"/>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6"/>
      <c r="B7" s="324"/>
      <c r="C7" s="325"/>
      <c r="D7" s="1876" t="s">
        <v>1388</v>
      </c>
      <c r="E7" s="1876"/>
      <c r="F7" s="1876"/>
      <c r="G7" s="1876"/>
      <c r="H7" s="1876"/>
      <c r="I7" s="1876"/>
      <c r="J7" s="1876"/>
      <c r="K7" s="1876"/>
      <c r="L7" s="1876"/>
      <c r="M7" s="1876"/>
      <c r="N7" s="1876"/>
      <c r="O7" s="1876"/>
      <c r="P7" s="1876"/>
      <c r="Q7" s="1876"/>
      <c r="R7" s="1876"/>
      <c r="S7" s="1876"/>
      <c r="T7" s="1876"/>
      <c r="U7" s="1876"/>
      <c r="V7" s="1876"/>
      <c r="W7" s="1876"/>
      <c r="X7" s="1876"/>
      <c r="Y7" s="1876"/>
      <c r="Z7" s="1876"/>
      <c r="AA7" s="1876"/>
      <c r="AB7" s="1876"/>
      <c r="AC7" s="1876"/>
      <c r="AD7" s="1876"/>
      <c r="AE7" s="1876"/>
      <c r="AF7" s="1876"/>
      <c r="AG7" s="1876"/>
      <c r="AH7" s="1876"/>
      <c r="AI7" s="1876"/>
      <c r="AJ7" s="1876"/>
      <c r="AK7" s="1876"/>
      <c r="AL7" s="745"/>
    </row>
    <row r="8" spans="1:38">
      <c r="A8" s="326"/>
      <c r="B8" s="324"/>
      <c r="C8" s="325"/>
      <c r="D8" s="1876"/>
      <c r="E8" s="1876"/>
      <c r="F8" s="1876"/>
      <c r="G8" s="1876"/>
      <c r="H8" s="1876"/>
      <c r="I8" s="1876"/>
      <c r="J8" s="1876"/>
      <c r="K8" s="1876"/>
      <c r="L8" s="1876"/>
      <c r="M8" s="1876"/>
      <c r="N8" s="1876"/>
      <c r="O8" s="1876"/>
      <c r="P8" s="1876"/>
      <c r="Q8" s="1876"/>
      <c r="R8" s="1876"/>
      <c r="S8" s="1876"/>
      <c r="T8" s="1876"/>
      <c r="U8" s="1876"/>
      <c r="V8" s="1876"/>
      <c r="W8" s="1876"/>
      <c r="X8" s="1876"/>
      <c r="Y8" s="1876"/>
      <c r="Z8" s="1876"/>
      <c r="AA8" s="1876"/>
      <c r="AB8" s="1876"/>
      <c r="AC8" s="1876"/>
      <c r="AD8" s="1876"/>
      <c r="AE8" s="1876"/>
      <c r="AF8" s="1876"/>
      <c r="AG8" s="1876"/>
      <c r="AH8" s="1876"/>
      <c r="AI8" s="1876"/>
      <c r="AJ8" s="1876"/>
      <c r="AK8" s="1876"/>
      <c r="AL8" s="745"/>
    </row>
    <row r="9" spans="1:38">
      <c r="A9" s="326"/>
      <c r="B9" s="324"/>
      <c r="C9" s="325"/>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745"/>
    </row>
    <row r="10" spans="1:38">
      <c r="A10" s="326"/>
      <c r="B10" s="324"/>
      <c r="C10" s="325"/>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3.15" customHeight="1">
      <c r="A11" s="326"/>
      <c r="B11" s="324"/>
      <c r="C11" s="325"/>
      <c r="D11" s="1876" t="s">
        <v>1392</v>
      </c>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745"/>
    </row>
    <row r="12" spans="1:38">
      <c r="A12" s="326"/>
      <c r="B12" s="324"/>
      <c r="C12" s="325"/>
      <c r="D12" s="1876"/>
      <c r="E12" s="1876"/>
      <c r="F12" s="1876"/>
      <c r="G12" s="1876"/>
      <c r="H12" s="1876"/>
      <c r="I12" s="1876"/>
      <c r="J12" s="1876"/>
      <c r="K12" s="1876"/>
      <c r="L12" s="1876"/>
      <c r="M12" s="1876"/>
      <c r="N12" s="1876"/>
      <c r="O12" s="1876"/>
      <c r="P12" s="1876"/>
      <c r="Q12" s="1876"/>
      <c r="R12" s="1876"/>
      <c r="S12" s="1876"/>
      <c r="T12" s="1876"/>
      <c r="U12" s="1876"/>
      <c r="V12" s="1876"/>
      <c r="W12" s="1876"/>
      <c r="X12" s="1876"/>
      <c r="Y12" s="1876"/>
      <c r="Z12" s="1876"/>
      <c r="AA12" s="1876"/>
      <c r="AB12" s="1876"/>
      <c r="AC12" s="1876"/>
      <c r="AD12" s="1876"/>
      <c r="AE12" s="1876"/>
      <c r="AF12" s="1876"/>
      <c r="AG12" s="1876"/>
      <c r="AH12" s="1876"/>
      <c r="AI12" s="1876"/>
      <c r="AJ12" s="1876"/>
      <c r="AK12" s="1876"/>
      <c r="AL12" s="745"/>
    </row>
    <row r="13" spans="1:38" s="716" customFormat="1">
      <c r="A13" s="326"/>
      <c r="B13" s="324"/>
      <c r="C13" s="325"/>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745"/>
    </row>
    <row r="14" spans="1:38" s="716" customFormat="1" ht="13.35" customHeight="1">
      <c r="A14" s="326"/>
      <c r="B14" s="324"/>
      <c r="C14" s="325"/>
      <c r="E14" s="1862" t="s">
        <v>2167</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5"/>
    </row>
    <row r="15" spans="1:38" s="716" customFormat="1" ht="13.35" customHeight="1">
      <c r="A15" s="326"/>
      <c r="B15" s="324"/>
      <c r="C15" s="325"/>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5"/>
    </row>
    <row r="16" spans="1:38" s="716" customFormat="1">
      <c r="A16" s="326"/>
      <c r="B16" s="324"/>
      <c r="C16" s="325"/>
      <c r="D16" s="745"/>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5"/>
    </row>
    <row r="17" spans="1:38" s="716" customFormat="1">
      <c r="A17" s="326"/>
      <c r="B17" s="324"/>
      <c r="C17" s="325"/>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35" customHeight="1">
      <c r="A18" s="326"/>
      <c r="B18" s="324"/>
      <c r="C18" s="325"/>
      <c r="D18" s="1862" t="s">
        <v>1519</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4"/>
    </row>
    <row r="19" spans="1:38">
      <c r="A19" s="326"/>
      <c r="B19" s="324"/>
      <c r="C19" s="325"/>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4"/>
    </row>
    <row r="20" spans="1:38" s="716" customFormat="1">
      <c r="A20" s="326"/>
      <c r="B20" s="324"/>
      <c r="C20" s="325"/>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4"/>
    </row>
    <row r="21" spans="1:38" s="716" customFormat="1" ht="13.35" customHeight="1">
      <c r="A21" s="326"/>
      <c r="B21" s="324"/>
      <c r="C21" s="325"/>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4"/>
    </row>
    <row r="22" spans="1:38" s="716" customFormat="1">
      <c r="A22" s="326"/>
      <c r="B22" s="324"/>
      <c r="C22" s="325"/>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4"/>
    </row>
    <row r="23" spans="1:38" s="716" customFormat="1">
      <c r="A23" s="326"/>
      <c r="B23" s="324"/>
      <c r="C23" s="325"/>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4"/>
    </row>
    <row r="24" spans="1:38">
      <c r="A24" s="326"/>
      <c r="B24" s="324"/>
      <c r="C24" s="325"/>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4"/>
    </row>
    <row r="25" spans="1:38" s="716" customFormat="1">
      <c r="A25" s="326"/>
      <c r="B25" s="324"/>
      <c r="C25" s="325"/>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4"/>
    </row>
    <row r="26" spans="1:38" s="716" customFormat="1">
      <c r="A26" s="326"/>
      <c r="B26" s="324"/>
      <c r="C26" s="325"/>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4"/>
    </row>
    <row r="27" spans="1:38" s="716" customFormat="1" ht="11.85" customHeight="1">
      <c r="A27" s="326"/>
      <c r="B27" s="324"/>
      <c r="C27" s="325"/>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4"/>
    </row>
    <row r="28" spans="1:38" s="716" customFormat="1" ht="13.35" customHeight="1">
      <c r="A28" s="326"/>
      <c r="B28" s="324"/>
      <c r="C28" s="325"/>
      <c r="E28" s="1862" t="s">
        <v>2168</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4"/>
    </row>
    <row r="29" spans="1:38" s="716" customFormat="1" ht="13.35" customHeight="1">
      <c r="A29" s="326"/>
      <c r="B29" s="324"/>
      <c r="C29" s="325"/>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4"/>
    </row>
    <row r="30" spans="1:38" s="716" customFormat="1">
      <c r="A30" s="326"/>
      <c r="B30" s="324"/>
      <c r="C30" s="325"/>
      <c r="D30" s="745"/>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4"/>
    </row>
    <row r="31" spans="1:38" s="716" customFormat="1">
      <c r="A31" s="326"/>
      <c r="B31" s="324"/>
      <c r="C31" s="325"/>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4"/>
    </row>
    <row r="32" spans="1:38" s="716" customFormat="1" ht="13.35" customHeight="1">
      <c r="A32" s="326"/>
      <c r="B32" s="324"/>
      <c r="C32" s="325"/>
      <c r="D32" s="1864" t="s">
        <v>1393</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4"/>
    </row>
    <row r="33" spans="1:38" s="716" customFormat="1">
      <c r="A33" s="326"/>
      <c r="B33" s="324"/>
      <c r="C33" s="325"/>
      <c r="D33" s="745"/>
      <c r="E33" s="1863" t="s">
        <v>2407</v>
      </c>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324"/>
    </row>
    <row r="34" spans="1:38">
      <c r="A34" s="149"/>
      <c r="C34" s="5"/>
    </row>
    <row r="35" spans="1:38">
      <c r="A35" s="149"/>
      <c r="D35" s="1877" t="s">
        <v>2408</v>
      </c>
      <c r="E35" s="1877"/>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7"/>
      <c r="AK35" s="1877"/>
    </row>
    <row r="36" spans="1:38">
      <c r="A36" s="149"/>
      <c r="D36" s="1877"/>
      <c r="E36" s="1877"/>
      <c r="F36" s="1877"/>
      <c r="G36" s="1877"/>
      <c r="H36" s="1877"/>
      <c r="I36" s="1877"/>
      <c r="J36" s="1877"/>
      <c r="K36" s="1877"/>
      <c r="L36" s="1877"/>
      <c r="M36" s="1877"/>
      <c r="N36" s="1877"/>
      <c r="O36" s="1877"/>
      <c r="P36" s="1877"/>
      <c r="Q36" s="1877"/>
      <c r="R36" s="1877"/>
      <c r="S36" s="1877"/>
      <c r="T36" s="1877"/>
      <c r="U36" s="1877"/>
      <c r="V36" s="1877"/>
      <c r="W36" s="1877"/>
      <c r="X36" s="1877"/>
      <c r="Y36" s="1877"/>
      <c r="Z36" s="1877"/>
      <c r="AA36" s="1877"/>
      <c r="AB36" s="1877"/>
      <c r="AC36" s="1877"/>
      <c r="AD36" s="1877"/>
      <c r="AE36" s="1877"/>
      <c r="AF36" s="1877"/>
      <c r="AG36" s="1877"/>
      <c r="AH36" s="1877"/>
      <c r="AI36" s="1877"/>
      <c r="AJ36" s="1877"/>
      <c r="AK36" s="1877"/>
    </row>
    <row r="37" spans="1:38">
      <c r="A37" s="149"/>
      <c r="D37" s="249"/>
      <c r="E37" s="1870" t="s">
        <v>1092</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49"/>
      <c r="E38" s="1870" t="s">
        <v>1391</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35" customHeight="1">
      <c r="A42" s="149"/>
      <c r="B42"/>
      <c r="C42" s="5"/>
      <c r="D42" s="149"/>
      <c r="E42" s="149" t="s">
        <v>689</v>
      </c>
      <c r="F42" s="1862" t="s">
        <v>1358</v>
      </c>
    </row>
    <row r="43" spans="1:38" s="1862" customFormat="1" ht="13.35" customHeight="1">
      <c r="A43" s="149"/>
      <c r="B43" s="716"/>
      <c r="C43" s="5"/>
      <c r="D43" s="149"/>
      <c r="E43" s="149"/>
    </row>
    <row r="44" spans="1:38">
      <c r="A44" s="149"/>
      <c r="C44" s="5"/>
      <c r="D44" s="149"/>
      <c r="E44" s="149"/>
      <c r="F44" s="151" t="s">
        <v>724</v>
      </c>
      <c r="G44" s="149" t="s">
        <v>180</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35" customHeight="1">
      <c r="A45" s="149"/>
      <c r="B45"/>
      <c r="C45" s="5"/>
      <c r="D45" s="149"/>
      <c r="E45" s="6" t="s">
        <v>357</v>
      </c>
      <c r="F45" s="1869" t="s">
        <v>1472</v>
      </c>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row>
    <row r="46" spans="1:38" s="769" customFormat="1">
      <c r="A46" s="149"/>
      <c r="B46" s="716"/>
      <c r="C46" s="5"/>
      <c r="D46" s="149"/>
      <c r="E46" s="149"/>
      <c r="F46" s="1869"/>
      <c r="G46" s="1869"/>
      <c r="H46" s="1869"/>
      <c r="I46" s="1869"/>
      <c r="J46" s="1869"/>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row>
    <row r="47" spans="1:38" s="769" customFormat="1" ht="13.35" customHeight="1">
      <c r="A47" s="149"/>
      <c r="B47" s="716"/>
      <c r="C47" s="5"/>
      <c r="D47" s="149"/>
      <c r="E47" s="149"/>
      <c r="F47" s="1869"/>
      <c r="G47" s="1869"/>
      <c r="H47" s="1869"/>
      <c r="I47" s="1869"/>
      <c r="J47" s="1869"/>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row>
    <row r="48" spans="1:38">
      <c r="A48" s="149"/>
      <c r="C48" s="5"/>
      <c r="D48" s="149"/>
      <c r="E48" s="149"/>
      <c r="F48" s="769" t="s">
        <v>724</v>
      </c>
      <c r="G48" s="6" t="s">
        <v>686</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358</v>
      </c>
      <c r="F50" s="1862" t="s">
        <v>1473</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6"/>
      <c r="B56" s="324"/>
      <c r="C56" s="325"/>
      <c r="D56" s="325"/>
      <c r="E56" s="326"/>
      <c r="F56" s="330" t="s">
        <v>724</v>
      </c>
      <c r="G56" s="1867" t="s">
        <v>1394</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4"/>
    </row>
    <row r="57" spans="1:38" s="716" customFormat="1" ht="13.35" customHeight="1">
      <c r="A57" s="326"/>
      <c r="B57" s="324"/>
      <c r="C57" s="325"/>
      <c r="D57" s="325"/>
      <c r="E57" s="326"/>
      <c r="F57" s="330"/>
      <c r="G57" s="776" t="s">
        <v>1396</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4"/>
    </row>
    <row r="58" spans="1:38" s="2" customFormat="1">
      <c r="A58" s="326"/>
      <c r="B58" s="324"/>
      <c r="C58" s="325"/>
      <c r="D58" s="325"/>
      <c r="E58" s="326"/>
      <c r="F58" s="330"/>
      <c r="G58" s="1867" t="s">
        <v>609</v>
      </c>
      <c r="H58" s="1867"/>
      <c r="I58" s="1867"/>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4"/>
    </row>
    <row r="59" spans="1:38" s="2" customFormat="1" ht="13.35" customHeight="1">
      <c r="A59" s="326"/>
      <c r="B59" s="325"/>
      <c r="C59" s="325"/>
      <c r="D59" s="325"/>
      <c r="E59" s="326"/>
      <c r="F59" s="330" t="s">
        <v>541</v>
      </c>
      <c r="G59" s="1868" t="s">
        <v>1474</v>
      </c>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row>
    <row r="60" spans="1:38" s="2" customFormat="1">
      <c r="A60" s="326"/>
      <c r="B60" s="324"/>
      <c r="C60" s="325"/>
      <c r="D60" s="325"/>
      <c r="E60" s="326"/>
      <c r="F60" s="330"/>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row>
    <row r="61" spans="1:38">
      <c r="A61" s="328"/>
      <c r="B61" s="327"/>
      <c r="C61" s="329"/>
      <c r="D61" s="329"/>
      <c r="E61" s="328"/>
      <c r="F61" s="331"/>
      <c r="G61" s="777" t="s">
        <v>1518</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7"/>
    </row>
    <row r="62" spans="1:38">
      <c r="A62" s="182"/>
      <c r="B62" s="2"/>
      <c r="C62" s="183"/>
      <c r="D62" s="183"/>
      <c r="E62" s="182"/>
      <c r="F62" s="183"/>
      <c r="G62" s="183"/>
      <c r="H62" s="67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2" t="s">
        <v>1360</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35" customHeight="1">
      <c r="A69" s="149"/>
      <c r="C69" s="5"/>
      <c r="D69" s="149"/>
      <c r="E69" s="149"/>
      <c r="F69" s="9" t="s">
        <v>541</v>
      </c>
      <c r="G69" s="1862" t="s">
        <v>1361</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8"/>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357</v>
      </c>
      <c r="F71" s="149" t="s">
        <v>441</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8" t="s">
        <v>724</v>
      </c>
      <c r="G72" s="1862" t="s">
        <v>1362</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8"/>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8" t="s">
        <v>541</v>
      </c>
      <c r="G74" s="1862" t="s">
        <v>1363</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8"/>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8"/>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8"/>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8" t="s">
        <v>283</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8"/>
      <c r="G82" s="1862" t="s">
        <v>1364</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6"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8"/>
      <c r="G86" s="1862" t="s">
        <v>1365</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5" t="s">
        <v>1366</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6" customFormat="1">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1367</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972</v>
      </c>
      <c r="F96" s="326" t="s">
        <v>973</v>
      </c>
      <c r="G96" s="326"/>
      <c r="L96" s="149"/>
      <c r="M96" s="149"/>
      <c r="P96" s="149"/>
      <c r="Q96" s="149"/>
      <c r="R96" s="149"/>
      <c r="S96" s="149"/>
      <c r="T96" s="149"/>
      <c r="U96" s="149"/>
      <c r="V96" s="149"/>
      <c r="W96" s="149"/>
      <c r="X96" s="149"/>
      <c r="Y96" s="149"/>
      <c r="Z96" s="149"/>
      <c r="AA96" s="149"/>
      <c r="AB96" s="149"/>
    </row>
    <row r="97" spans="1:38">
      <c r="A97" s="149"/>
      <c r="C97" s="5"/>
      <c r="D97" s="149"/>
      <c r="E97" s="149"/>
      <c r="G97" s="1862" t="s">
        <v>1368</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0"/>
      <c r="E100" s="1866" t="s">
        <v>1369</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1385</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c r="B106" s="5"/>
      <c r="C106" s="5"/>
      <c r="D106" s="5" t="s">
        <v>212</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c r="F120" s="153" t="s">
        <v>1386</v>
      </c>
      <c r="G120" s="153"/>
    </row>
    <row r="121" spans="1:38">
      <c r="G121" s="153"/>
    </row>
    <row r="122" spans="1:38">
      <c r="E122" s="149" t="s">
        <v>820</v>
      </c>
      <c r="F122" s="152" t="s">
        <v>395</v>
      </c>
    </row>
    <row r="123" spans="1:38">
      <c r="E123" s="149"/>
      <c r="F123" s="149" t="s">
        <v>1112</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6" customFormat="1">
      <c r="D133" s="5"/>
      <c r="E133" s="883" t="s">
        <v>1487</v>
      </c>
      <c r="G133" s="5"/>
      <c r="H133" s="5"/>
      <c r="I133" s="5"/>
      <c r="J133" s="5"/>
      <c r="K133" s="5"/>
      <c r="L133" s="5"/>
      <c r="M133" s="5"/>
      <c r="N133" s="5"/>
    </row>
    <row r="134" spans="4:37" ht="12.75" customHeight="1">
      <c r="E134" s="883" t="s">
        <v>1485</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1486</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546</v>
      </c>
      <c r="E137" s="5" t="s">
        <v>549</v>
      </c>
      <c r="F137" s="5"/>
    </row>
    <row r="138" spans="4:37">
      <c r="E138" s="882" t="s">
        <v>1421</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6" t="s">
        <v>1001</v>
      </c>
      <c r="F145" s="326"/>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2" t="s">
        <v>1370</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6" t="s">
        <v>689</v>
      </c>
      <c r="G255" s="326" t="s">
        <v>870</v>
      </c>
      <c r="I255" s="6"/>
      <c r="K255" s="155"/>
      <c r="L255" s="155"/>
      <c r="M255" s="155"/>
      <c r="N255" s="155"/>
      <c r="O255" s="155"/>
      <c r="P255" s="1"/>
      <c r="Q255" s="149"/>
      <c r="R255" s="149"/>
      <c r="S255" s="149"/>
      <c r="T255" s="149"/>
      <c r="U255" s="149"/>
    </row>
    <row r="256" spans="2:21">
      <c r="B256" s="5"/>
      <c r="C256" s="5"/>
      <c r="E256" s="149"/>
      <c r="F256" s="324"/>
      <c r="G256" s="326" t="s">
        <v>871</v>
      </c>
      <c r="I256" s="6"/>
      <c r="K256" s="155"/>
      <c r="L256" s="155"/>
      <c r="M256" s="155"/>
      <c r="N256" s="155"/>
      <c r="O256" s="155"/>
      <c r="P256" s="155"/>
    </row>
    <row r="257" spans="2:21">
      <c r="B257" s="5"/>
      <c r="C257" s="5"/>
      <c r="E257" s="149"/>
      <c r="F257" s="324" t="s">
        <v>357</v>
      </c>
      <c r="G257" s="326" t="s">
        <v>1021</v>
      </c>
      <c r="I257" s="149"/>
      <c r="K257" s="149"/>
      <c r="L257" s="149"/>
      <c r="M257" s="149"/>
      <c r="N257" s="149"/>
      <c r="O257" s="149"/>
      <c r="P257" s="155"/>
      <c r="Q257" s="1"/>
      <c r="R257" s="1"/>
      <c r="S257" s="1"/>
      <c r="T257" s="1"/>
      <c r="U257" s="1"/>
    </row>
    <row r="258" spans="2:21">
      <c r="B258" s="5"/>
      <c r="C258" s="5"/>
      <c r="E258" s="149"/>
      <c r="F258" s="324"/>
      <c r="G258" s="326"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6"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6"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7" t="s">
        <v>1040</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7" t="s">
        <v>1041</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7" t="s">
        <v>1042</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1" t="s">
        <v>608</v>
      </c>
      <c r="E319" s="251"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2" t="s">
        <v>1345</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6" customFormat="1">
      <c r="B342" s="5"/>
      <c r="C342" s="183" t="s">
        <v>451</v>
      </c>
      <c r="G342" s="195" t="s">
        <v>1441</v>
      </c>
      <c r="I342" s="183"/>
      <c r="J342" s="149"/>
      <c r="K342" s="149"/>
      <c r="L342" s="149"/>
      <c r="M342" s="149"/>
      <c r="N342" s="149"/>
      <c r="O342" s="149"/>
      <c r="P342" s="149"/>
      <c r="Q342" s="149"/>
      <c r="R342" s="149"/>
      <c r="S342" s="149"/>
    </row>
    <row r="343" spans="2:37" s="716" customFormat="1" ht="13.35" customHeight="1">
      <c r="B343" s="5"/>
      <c r="E343" s="1867" t="s">
        <v>1448</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6"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6"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6"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6"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6" customFormat="1">
      <c r="B348" s="5"/>
      <c r="E348" s="6" t="s">
        <v>117</v>
      </c>
      <c r="F348" s="1862" t="s">
        <v>1450</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6"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6"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6"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6" customFormat="1">
      <c r="B352" s="5"/>
      <c r="E352" s="6" t="s">
        <v>118</v>
      </c>
      <c r="F352" s="1862" t="s">
        <v>1449</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6"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6"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6"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35" customHeight="1">
      <c r="B358" s="5"/>
      <c r="C358" s="17" t="s">
        <v>1427</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3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6" customFormat="1">
      <c r="B367" s="5"/>
      <c r="E367" s="1871" t="s">
        <v>1439</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6" customFormat="1">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c r="A369"/>
      <c r="B369" s="5"/>
      <c r="C369"/>
      <c r="D369"/>
      <c r="E369" s="1872" t="s">
        <v>1488</v>
      </c>
    </row>
    <row r="370" spans="1:38" s="1873"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7" t="s">
        <v>1343</v>
      </c>
      <c r="G378" s="182"/>
      <c r="I378" s="247"/>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7"/>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546</v>
      </c>
      <c r="E381" s="5" t="s">
        <v>1489</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787</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1346</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6" customFormat="1">
      <c r="A385" s="716"/>
      <c r="B385" s="5"/>
      <c r="C385" s="716"/>
      <c r="D385" s="5" t="s">
        <v>310</v>
      </c>
      <c r="E385" s="5" t="s">
        <v>289</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6" customFormat="1">
      <c r="A386" s="676"/>
      <c r="B386" s="183"/>
      <c r="C386" s="676"/>
      <c r="D386" s="676"/>
      <c r="E386" s="677" t="s">
        <v>117</v>
      </c>
      <c r="F386" s="677" t="s">
        <v>1490</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6" customFormat="1">
      <c r="A387" s="676"/>
      <c r="B387" s="183"/>
      <c r="C387" s="676"/>
      <c r="D387" s="676"/>
      <c r="E387" s="677"/>
      <c r="F387" s="247" t="s">
        <v>1343</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64" t="s">
        <v>1499</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6"/>
    </row>
    <row r="389" spans="1:38" s="716" customFormat="1">
      <c r="A389" s="676"/>
      <c r="B389" s="183"/>
      <c r="C389" s="676"/>
      <c r="D389" s="676"/>
      <c r="E389" s="677"/>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6"/>
    </row>
    <row r="390" spans="1:38" s="716" customFormat="1">
      <c r="A390" s="676"/>
      <c r="B390" s="183"/>
      <c r="C390" s="676"/>
      <c r="D390" s="676"/>
      <c r="E390" s="677"/>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449</v>
      </c>
      <c r="E392" s="5" t="s">
        <v>1508</v>
      </c>
      <c r="F392" s="677"/>
      <c r="G392" s="183"/>
      <c r="H392" s="676"/>
      <c r="I392" s="247"/>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35" customHeight="1">
      <c r="A393" s="676"/>
      <c r="B393" s="183"/>
      <c r="C393" s="676"/>
      <c r="D393" s="5"/>
      <c r="E393" s="6" t="s">
        <v>1507</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1346</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6"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42578125" style="1333" customWidth="1"/>
    <col min="11" max="11" width="47.42578125" style="1334" customWidth="1"/>
    <col min="12" max="16384" width="9.140625" style="1333"/>
  </cols>
  <sheetData>
    <row r="1" spans="1:11" ht="30" customHeight="1">
      <c r="A1" s="3265" t="s">
        <v>1876</v>
      </c>
      <c r="B1" s="3265"/>
      <c r="C1" s="3265"/>
      <c r="D1" s="3265"/>
      <c r="E1" s="3265"/>
      <c r="F1" s="3265"/>
      <c r="G1" s="3265"/>
      <c r="H1" s="3265"/>
      <c r="I1" s="3265"/>
    </row>
    <row r="2" spans="1:11" ht="15">
      <c r="A2" s="1335"/>
      <c r="B2" s="1335"/>
      <c r="E2" s="1336"/>
      <c r="I2" s="1338"/>
      <c r="K2" s="1339"/>
    </row>
    <row r="3" spans="1:11">
      <c r="A3" s="1340" t="s">
        <v>1583</v>
      </c>
      <c r="B3" s="1340"/>
      <c r="C3" s="1333" t="s">
        <v>2179</v>
      </c>
      <c r="E3" s="1825">
        <f>ROUND(Application!AM564+'Basis &amp; Credits'!AB77,0)</f>
        <v>19041460</v>
      </c>
      <c r="F3" s="1341"/>
      <c r="K3" s="1412"/>
    </row>
    <row r="4" spans="1:11" s="1342" customFormat="1" ht="15" customHeight="1">
      <c r="C4" s="1342" t="s">
        <v>1877</v>
      </c>
      <c r="E4" s="1418">
        <f>Application!AD1037</f>
        <v>-0.12719298245614036</v>
      </c>
      <c r="F4" s="1343"/>
      <c r="H4" s="1344"/>
      <c r="K4" s="1631"/>
    </row>
    <row r="5" spans="1:11" s="1345" customFormat="1" ht="15" customHeight="1">
      <c r="A5" s="3266"/>
      <c r="B5" s="3266"/>
      <c r="D5" s="1345" t="s">
        <v>2180</v>
      </c>
      <c r="E5" s="1346">
        <f>IF('CDLAC Points System'!C274="Yes",0.2,0)</f>
        <v>0</v>
      </c>
      <c r="F5" s="1343"/>
      <c r="H5" s="1344"/>
      <c r="K5" s="1632"/>
    </row>
    <row r="6" spans="1:11" s="1345" customFormat="1" ht="15" customHeight="1">
      <c r="A6" s="1495"/>
      <c r="B6" s="1495"/>
      <c r="D6" s="1345" t="s">
        <v>2181</v>
      </c>
      <c r="E6" s="1346" t="str">
        <f>IF(AND((Application!W464&gt;=(0.5*Application!G753)),Application!D210="Special Needs",(OR(Application!M354="Yes",Application!M355="Yes"))),0.2," ")</f>
        <v xml:space="preserve"> </v>
      </c>
      <c r="F6" s="1343"/>
      <c r="H6" s="1344"/>
      <c r="K6" s="1632"/>
    </row>
    <row r="7" spans="1:11" ht="15">
      <c r="A7" s="1335"/>
      <c r="B7" s="1335"/>
      <c r="C7" s="1333" t="s">
        <v>2183</v>
      </c>
      <c r="E7" s="1416">
        <f>E3-(E3*(E4+(MAX(E5,E6))))</f>
        <v>21463400.087719299</v>
      </c>
      <c r="F7" s="1341"/>
      <c r="I7" s="1347"/>
      <c r="K7" s="1633"/>
    </row>
    <row r="8" spans="1:11" ht="15">
      <c r="A8" s="1335"/>
      <c r="B8" s="1335"/>
      <c r="E8" s="1347"/>
      <c r="F8" s="1348"/>
      <c r="G8" s="1349"/>
      <c r="H8" s="1350"/>
      <c r="I8" s="1347"/>
    </row>
    <row r="9" spans="1:11" s="1353" customFormat="1" ht="15" customHeight="1">
      <c r="A9" s="1351"/>
      <c r="B9" s="1351"/>
      <c r="C9" s="1352"/>
      <c r="E9" s="1354" t="s">
        <v>1878</v>
      </c>
      <c r="F9" s="1355"/>
      <c r="G9" s="1356" t="s">
        <v>1879</v>
      </c>
      <c r="H9" s="1350"/>
      <c r="I9" s="1356" t="s">
        <v>1880</v>
      </c>
      <c r="K9" s="1357"/>
    </row>
    <row r="10" spans="1:11">
      <c r="A10" s="1340" t="s">
        <v>1585</v>
      </c>
      <c r="B10" s="1340"/>
      <c r="C10" s="1333" t="s">
        <v>1881</v>
      </c>
      <c r="E10" s="1358" t="s">
        <v>1882</v>
      </c>
      <c r="F10" s="1350"/>
      <c r="G10" s="1358" t="s">
        <v>1883</v>
      </c>
      <c r="H10" s="1350"/>
      <c r="I10" s="1358" t="s">
        <v>1882</v>
      </c>
    </row>
    <row r="11" spans="1:11" ht="15">
      <c r="A11" s="1335"/>
      <c r="B11" s="1335"/>
      <c r="C11" s="1359" t="s">
        <v>1884</v>
      </c>
      <c r="D11" s="1359"/>
      <c r="E11" s="1413">
        <f>Application!BN635+Application!BN644+Application!CS658</f>
        <v>0</v>
      </c>
      <c r="G11" s="1360">
        <v>0.9</v>
      </c>
      <c r="H11" s="1361"/>
      <c r="I11" s="1362">
        <f>E11*G11</f>
        <v>0</v>
      </c>
      <c r="J11" s="1353"/>
      <c r="K11" s="1357"/>
    </row>
    <row r="12" spans="1:11" ht="15">
      <c r="A12" s="1335"/>
      <c r="B12" s="1335"/>
      <c r="C12" s="1353" t="s">
        <v>1885</v>
      </c>
      <c r="D12" s="1353"/>
      <c r="E12" s="1413">
        <f>Application!BS635+Application!BS644+Application!CX658</f>
        <v>15</v>
      </c>
      <c r="G12" s="1360">
        <v>1</v>
      </c>
      <c r="H12" s="1361"/>
      <c r="I12" s="1362">
        <f>E12*G12</f>
        <v>15</v>
      </c>
      <c r="J12" s="1353"/>
    </row>
    <row r="13" spans="1:11" ht="15">
      <c r="A13" s="1335"/>
      <c r="B13" s="1335"/>
      <c r="C13" s="1353" t="s">
        <v>1886</v>
      </c>
      <c r="D13" s="1353"/>
      <c r="E13" s="1413">
        <f>Application!BX635+Application!BX644+Application!DC658</f>
        <v>20</v>
      </c>
      <c r="G13" s="1360">
        <v>1.25</v>
      </c>
      <c r="H13" s="1361"/>
      <c r="I13" s="1362">
        <f>E13*G13</f>
        <v>25</v>
      </c>
      <c r="J13" s="1353"/>
    </row>
    <row r="14" spans="1:11" ht="15">
      <c r="A14" s="1335"/>
      <c r="B14" s="1335"/>
      <c r="C14" s="1353" t="s">
        <v>1887</v>
      </c>
      <c r="D14" s="1353"/>
      <c r="E14" s="1413">
        <f>Application!CC635+Application!CC644+Application!DH658</f>
        <v>30</v>
      </c>
      <c r="G14" s="1360">
        <f>1.5+0.25*0</f>
        <v>1.5</v>
      </c>
      <c r="H14" s="1361"/>
      <c r="I14" s="1362">
        <f>IF(E14/E16&lt;=30%,E14*G14,TRUNC(0.3*E16)*G14+(E14-TRUNC(0.3*E16))*G13)</f>
        <v>42.25</v>
      </c>
      <c r="J14" s="1353"/>
    </row>
    <row r="15" spans="1:11" ht="15">
      <c r="A15" s="1335"/>
      <c r="B15" s="1335"/>
      <c r="C15" s="1353" t="s">
        <v>1888</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65</v>
      </c>
      <c r="G16" s="1336"/>
      <c r="I16" s="1417">
        <f>SUM(I11:I15)</f>
        <v>82.25</v>
      </c>
    </row>
    <row r="17" spans="1:9" ht="15">
      <c r="A17" s="1335"/>
      <c r="B17" s="1335"/>
      <c r="E17" s="1336"/>
      <c r="I17" s="1364"/>
    </row>
    <row r="18" spans="1:9" ht="15">
      <c r="A18" s="1340" t="s">
        <v>1588</v>
      </c>
      <c r="B18" s="1340"/>
      <c r="C18" s="1365" t="s">
        <v>1889</v>
      </c>
      <c r="D18" s="1337"/>
      <c r="E18" s="1366">
        <f>E7/I16</f>
        <v>260953.19255585773</v>
      </c>
      <c r="F18" s="1367"/>
      <c r="G18" s="1368"/>
      <c r="H18" s="1369"/>
      <c r="I18" s="1364"/>
    </row>
    <row r="21" spans="1:9" ht="14.25" customHeight="1">
      <c r="A21" s="3267" t="s">
        <v>2178</v>
      </c>
      <c r="B21" s="3267"/>
      <c r="C21" s="3267"/>
      <c r="D21" s="3267"/>
      <c r="E21" s="3267"/>
      <c r="F21" s="3267"/>
      <c r="G21" s="3267"/>
      <c r="H21" s="3267"/>
      <c r="I21" s="3267"/>
    </row>
    <row r="22" spans="1:9">
      <c r="A22" s="3267"/>
      <c r="B22" s="3267"/>
      <c r="C22" s="3267"/>
      <c r="D22" s="3267"/>
      <c r="E22" s="3267"/>
      <c r="F22" s="3267"/>
      <c r="G22" s="3267"/>
      <c r="H22" s="3267"/>
      <c r="I22" s="3267"/>
    </row>
    <row r="23" spans="1:9">
      <c r="A23" s="3267"/>
      <c r="B23" s="3267"/>
      <c r="C23" s="3267"/>
      <c r="D23" s="3267"/>
      <c r="E23" s="3267"/>
      <c r="F23" s="3267"/>
      <c r="G23" s="3267"/>
      <c r="H23" s="3267"/>
      <c r="I23" s="3267"/>
    </row>
    <row r="24" spans="1:9">
      <c r="A24" s="3267"/>
      <c r="B24" s="3267"/>
      <c r="C24" s="3267"/>
      <c r="D24" s="3267"/>
      <c r="E24" s="3267"/>
      <c r="F24" s="3267"/>
      <c r="G24" s="3267"/>
      <c r="H24" s="3267"/>
      <c r="I24" s="3267"/>
    </row>
    <row r="26" spans="1:9" ht="20.100000000000001" customHeight="1">
      <c r="A26" s="1333"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5" zoomScaleNormal="100" zoomScaleSheetLayoutView="100" workbookViewId="0">
      <selection activeCell="AK57" sqref="AK57"/>
    </sheetView>
  </sheetViews>
  <sheetFormatPr defaultColWidth="0" defaultRowHeight="0" customHeight="1" zeroHeight="1"/>
  <cols>
    <col min="1" max="1" width="1.42578125" style="789" customWidth="1"/>
    <col min="2" max="2" width="0.85546875" style="789" customWidth="1"/>
    <col min="3" max="18" width="2.42578125" style="789" customWidth="1"/>
    <col min="19" max="19" width="4" style="789" customWidth="1"/>
    <col min="20" max="39" width="2.7109375" style="789" customWidth="1"/>
    <col min="40" max="40" width="1.42578125" style="789" customWidth="1"/>
    <col min="41" max="76" width="2.42578125" style="789" hidden="1"/>
    <col min="77" max="256" width="2.42578125" style="616" hidden="1"/>
    <col min="257" max="257" width="1.42578125" style="616" hidden="1" customWidth="1"/>
    <col min="258" max="258" width="0.85546875" style="616" hidden="1" customWidth="1"/>
    <col min="259" max="274" width="2.42578125" style="616" hidden="1" customWidth="1"/>
    <col min="275" max="275" width="4" style="616" hidden="1" customWidth="1"/>
    <col min="276" max="295" width="2.42578125" style="616" hidden="1" customWidth="1"/>
    <col min="296" max="296" width="1.42578125" style="616" hidden="1" customWidth="1"/>
    <col min="297" max="512" width="2.42578125" style="616" hidden="1"/>
    <col min="513" max="513" width="1.42578125" style="616" hidden="1" customWidth="1"/>
    <col min="514" max="514" width="0.85546875" style="616" hidden="1" customWidth="1"/>
    <col min="515" max="530" width="2.42578125" style="616" hidden="1" customWidth="1"/>
    <col min="531" max="531" width="4" style="616" hidden="1" customWidth="1"/>
    <col min="532" max="551" width="2.42578125" style="616" hidden="1" customWidth="1"/>
    <col min="552" max="552" width="1.42578125" style="616" hidden="1" customWidth="1"/>
    <col min="553" max="768" width="2.42578125" style="616" hidden="1"/>
    <col min="769" max="769" width="1.42578125" style="616" hidden="1" customWidth="1"/>
    <col min="770" max="770" width="0.85546875" style="616" hidden="1" customWidth="1"/>
    <col min="771" max="786" width="2.42578125" style="616" hidden="1" customWidth="1"/>
    <col min="787" max="787" width="4" style="616" hidden="1" customWidth="1"/>
    <col min="788" max="807" width="2.42578125" style="616" hidden="1" customWidth="1"/>
    <col min="808" max="808" width="1.42578125" style="616" hidden="1" customWidth="1"/>
    <col min="809" max="1024" width="2.42578125" style="616" hidden="1"/>
    <col min="1025" max="1025" width="1.42578125" style="616" hidden="1" customWidth="1"/>
    <col min="1026" max="1026" width="0.85546875" style="616" hidden="1" customWidth="1"/>
    <col min="1027" max="1042" width="2.42578125" style="616" hidden="1" customWidth="1"/>
    <col min="1043" max="1043" width="4" style="616" hidden="1" customWidth="1"/>
    <col min="1044" max="1063" width="2.42578125" style="616" hidden="1" customWidth="1"/>
    <col min="1064" max="1064" width="1.42578125" style="616" hidden="1" customWidth="1"/>
    <col min="1065" max="1280" width="2.42578125" style="616" hidden="1"/>
    <col min="1281" max="1281" width="1.42578125" style="616" hidden="1" customWidth="1"/>
    <col min="1282" max="1282" width="0.85546875" style="616" hidden="1" customWidth="1"/>
    <col min="1283" max="1298" width="2.42578125" style="616" hidden="1" customWidth="1"/>
    <col min="1299" max="1299" width="4" style="616" hidden="1" customWidth="1"/>
    <col min="1300" max="1319" width="2.42578125" style="616" hidden="1" customWidth="1"/>
    <col min="1320" max="1320" width="1.42578125" style="616" hidden="1" customWidth="1"/>
    <col min="1321" max="1536" width="2.42578125" style="616" hidden="1"/>
    <col min="1537" max="1537" width="1.42578125" style="616" hidden="1" customWidth="1"/>
    <col min="1538" max="1538" width="0.85546875" style="616" hidden="1" customWidth="1"/>
    <col min="1539" max="1554" width="2.42578125" style="616" hidden="1" customWidth="1"/>
    <col min="1555" max="1555" width="4" style="616" hidden="1" customWidth="1"/>
    <col min="1556" max="1575" width="2.42578125" style="616" hidden="1" customWidth="1"/>
    <col min="1576" max="1576" width="1.42578125" style="616" hidden="1" customWidth="1"/>
    <col min="1577" max="1792" width="2.42578125" style="616" hidden="1"/>
    <col min="1793" max="1793" width="1.42578125" style="616" hidden="1" customWidth="1"/>
    <col min="1794" max="1794" width="0.85546875" style="616" hidden="1" customWidth="1"/>
    <col min="1795" max="1810" width="2.42578125" style="616" hidden="1" customWidth="1"/>
    <col min="1811" max="1811" width="4" style="616" hidden="1" customWidth="1"/>
    <col min="1812" max="1831" width="2.42578125" style="616" hidden="1" customWidth="1"/>
    <col min="1832" max="1832" width="1.42578125" style="616" hidden="1" customWidth="1"/>
    <col min="1833" max="2048" width="2.42578125" style="616" hidden="1"/>
    <col min="2049" max="2049" width="1.42578125" style="616" hidden="1" customWidth="1"/>
    <col min="2050" max="2050" width="0.85546875" style="616" hidden="1" customWidth="1"/>
    <col min="2051" max="2066" width="2.42578125" style="616" hidden="1" customWidth="1"/>
    <col min="2067" max="2067" width="4" style="616" hidden="1" customWidth="1"/>
    <col min="2068" max="2087" width="2.42578125" style="616" hidden="1" customWidth="1"/>
    <col min="2088" max="2088" width="1.42578125" style="616" hidden="1" customWidth="1"/>
    <col min="2089" max="2304" width="2.42578125" style="616" hidden="1"/>
    <col min="2305" max="2305" width="1.42578125" style="616" hidden="1" customWidth="1"/>
    <col min="2306" max="2306" width="0.85546875" style="616" hidden="1" customWidth="1"/>
    <col min="2307" max="2322" width="2.42578125" style="616" hidden="1" customWidth="1"/>
    <col min="2323" max="2323" width="4" style="616" hidden="1" customWidth="1"/>
    <col min="2324" max="2343" width="2.42578125" style="616" hidden="1" customWidth="1"/>
    <col min="2344" max="2344" width="1.42578125" style="616" hidden="1" customWidth="1"/>
    <col min="2345" max="2560" width="2.42578125" style="616" hidden="1"/>
    <col min="2561" max="2561" width="1.42578125" style="616" hidden="1" customWidth="1"/>
    <col min="2562" max="2562" width="0.85546875" style="616" hidden="1" customWidth="1"/>
    <col min="2563" max="2578" width="2.42578125" style="616" hidden="1" customWidth="1"/>
    <col min="2579" max="2579" width="4" style="616" hidden="1" customWidth="1"/>
    <col min="2580" max="2599" width="2.42578125" style="616" hidden="1" customWidth="1"/>
    <col min="2600" max="2600" width="1.42578125" style="616" hidden="1" customWidth="1"/>
    <col min="2601" max="2816" width="2.42578125" style="616" hidden="1"/>
    <col min="2817" max="2817" width="1.42578125" style="616" hidden="1" customWidth="1"/>
    <col min="2818" max="2818" width="0.85546875" style="616" hidden="1" customWidth="1"/>
    <col min="2819" max="2834" width="2.42578125" style="616" hidden="1" customWidth="1"/>
    <col min="2835" max="2835" width="4" style="616" hidden="1" customWidth="1"/>
    <col min="2836" max="2855" width="2.42578125" style="616" hidden="1" customWidth="1"/>
    <col min="2856" max="2856" width="1.42578125" style="616" hidden="1" customWidth="1"/>
    <col min="2857" max="3072" width="2.42578125" style="616" hidden="1"/>
    <col min="3073" max="3073" width="1.42578125" style="616" hidden="1" customWidth="1"/>
    <col min="3074" max="3074" width="0.85546875" style="616" hidden="1" customWidth="1"/>
    <col min="3075" max="3090" width="2.42578125" style="616" hidden="1" customWidth="1"/>
    <col min="3091" max="3091" width="4" style="616" hidden="1" customWidth="1"/>
    <col min="3092" max="3111" width="2.42578125" style="616" hidden="1" customWidth="1"/>
    <col min="3112" max="3112" width="1.42578125" style="616" hidden="1" customWidth="1"/>
    <col min="3113" max="3328" width="2.42578125" style="616" hidden="1"/>
    <col min="3329" max="3329" width="1.42578125" style="616" hidden="1" customWidth="1"/>
    <col min="3330" max="3330" width="0.85546875" style="616" hidden="1" customWidth="1"/>
    <col min="3331" max="3346" width="2.42578125" style="616" hidden="1" customWidth="1"/>
    <col min="3347" max="3347" width="4" style="616" hidden="1" customWidth="1"/>
    <col min="3348" max="3367" width="2.42578125" style="616" hidden="1" customWidth="1"/>
    <col min="3368" max="3368" width="1.42578125" style="616" hidden="1" customWidth="1"/>
    <col min="3369" max="3584" width="2.42578125" style="616" hidden="1"/>
    <col min="3585" max="3585" width="1.42578125" style="616" hidden="1" customWidth="1"/>
    <col min="3586" max="3586" width="0.85546875" style="616" hidden="1" customWidth="1"/>
    <col min="3587" max="3602" width="2.42578125" style="616" hidden="1" customWidth="1"/>
    <col min="3603" max="3603" width="4" style="616" hidden="1" customWidth="1"/>
    <col min="3604" max="3623" width="2.42578125" style="616" hidden="1" customWidth="1"/>
    <col min="3624" max="3624" width="1.42578125" style="616" hidden="1" customWidth="1"/>
    <col min="3625" max="3840" width="2.42578125" style="616" hidden="1"/>
    <col min="3841" max="3841" width="1.42578125" style="616" hidden="1" customWidth="1"/>
    <col min="3842" max="3842" width="0.85546875" style="616" hidden="1" customWidth="1"/>
    <col min="3843" max="3858" width="2.42578125" style="616" hidden="1" customWidth="1"/>
    <col min="3859" max="3859" width="4" style="616" hidden="1" customWidth="1"/>
    <col min="3860" max="3879" width="2.42578125" style="616" hidden="1" customWidth="1"/>
    <col min="3880" max="3880" width="1.42578125" style="616" hidden="1" customWidth="1"/>
    <col min="3881" max="4096" width="2.42578125" style="616" hidden="1"/>
    <col min="4097" max="4097" width="1.42578125" style="616" hidden="1" customWidth="1"/>
    <col min="4098" max="4098" width="0.85546875" style="616" hidden="1" customWidth="1"/>
    <col min="4099" max="4114" width="2.42578125" style="616" hidden="1" customWidth="1"/>
    <col min="4115" max="4115" width="4" style="616" hidden="1" customWidth="1"/>
    <col min="4116" max="4135" width="2.42578125" style="616" hidden="1" customWidth="1"/>
    <col min="4136" max="4136" width="1.42578125" style="616" hidden="1" customWidth="1"/>
    <col min="4137" max="4352" width="2.42578125" style="616" hidden="1"/>
    <col min="4353" max="4353" width="1.42578125" style="616" hidden="1" customWidth="1"/>
    <col min="4354" max="4354" width="0.85546875" style="616" hidden="1" customWidth="1"/>
    <col min="4355" max="4370" width="2.42578125" style="616" hidden="1" customWidth="1"/>
    <col min="4371" max="4371" width="4" style="616" hidden="1" customWidth="1"/>
    <col min="4372" max="4391" width="2.42578125" style="616" hidden="1" customWidth="1"/>
    <col min="4392" max="4392" width="1.42578125" style="616" hidden="1" customWidth="1"/>
    <col min="4393" max="4608" width="2.42578125" style="616" hidden="1"/>
    <col min="4609" max="4609" width="1.42578125" style="616" hidden="1" customWidth="1"/>
    <col min="4610" max="4610" width="0.85546875" style="616" hidden="1" customWidth="1"/>
    <col min="4611" max="4626" width="2.42578125" style="616" hidden="1" customWidth="1"/>
    <col min="4627" max="4627" width="4" style="616" hidden="1" customWidth="1"/>
    <col min="4628" max="4647" width="2.42578125" style="616" hidden="1" customWidth="1"/>
    <col min="4648" max="4648" width="1.42578125" style="616" hidden="1" customWidth="1"/>
    <col min="4649" max="4864" width="2.42578125" style="616" hidden="1"/>
    <col min="4865" max="4865" width="1.42578125" style="616" hidden="1" customWidth="1"/>
    <col min="4866" max="4866" width="0.85546875" style="616" hidden="1" customWidth="1"/>
    <col min="4867" max="4882" width="2.42578125" style="616" hidden="1" customWidth="1"/>
    <col min="4883" max="4883" width="4" style="616" hidden="1" customWidth="1"/>
    <col min="4884" max="4903" width="2.42578125" style="616" hidden="1" customWidth="1"/>
    <col min="4904" max="4904" width="1.42578125" style="616" hidden="1" customWidth="1"/>
    <col min="4905" max="5120" width="2.42578125" style="616" hidden="1"/>
    <col min="5121" max="5121" width="1.42578125" style="616" hidden="1" customWidth="1"/>
    <col min="5122" max="5122" width="0.85546875" style="616" hidden="1" customWidth="1"/>
    <col min="5123" max="5138" width="2.42578125" style="616" hidden="1" customWidth="1"/>
    <col min="5139" max="5139" width="4" style="616" hidden="1" customWidth="1"/>
    <col min="5140" max="5159" width="2.42578125" style="616" hidden="1" customWidth="1"/>
    <col min="5160" max="5160" width="1.42578125" style="616" hidden="1" customWidth="1"/>
    <col min="5161" max="5376" width="2.42578125" style="616" hidden="1"/>
    <col min="5377" max="5377" width="1.42578125" style="616" hidden="1" customWidth="1"/>
    <col min="5378" max="5378" width="0.85546875" style="616" hidden="1" customWidth="1"/>
    <col min="5379" max="5394" width="2.42578125" style="616" hidden="1" customWidth="1"/>
    <col min="5395" max="5395" width="4" style="616" hidden="1" customWidth="1"/>
    <col min="5396" max="5415" width="2.42578125" style="616" hidden="1" customWidth="1"/>
    <col min="5416" max="5416" width="1.42578125" style="616" hidden="1" customWidth="1"/>
    <col min="5417" max="5632" width="2.42578125" style="616" hidden="1"/>
    <col min="5633" max="5633" width="1.42578125" style="616" hidden="1" customWidth="1"/>
    <col min="5634" max="5634" width="0.85546875" style="616" hidden="1" customWidth="1"/>
    <col min="5635" max="5650" width="2.42578125" style="616" hidden="1" customWidth="1"/>
    <col min="5651" max="5651" width="4" style="616" hidden="1" customWidth="1"/>
    <col min="5652" max="5671" width="2.42578125" style="616" hidden="1" customWidth="1"/>
    <col min="5672" max="5672" width="1.42578125" style="616" hidden="1" customWidth="1"/>
    <col min="5673" max="5888" width="2.42578125" style="616" hidden="1"/>
    <col min="5889" max="5889" width="1.42578125" style="616" hidden="1" customWidth="1"/>
    <col min="5890" max="5890" width="0.85546875" style="616" hidden="1" customWidth="1"/>
    <col min="5891" max="5906" width="2.42578125" style="616" hidden="1" customWidth="1"/>
    <col min="5907" max="5907" width="4" style="616" hidden="1" customWidth="1"/>
    <col min="5908" max="5927" width="2.42578125" style="616" hidden="1" customWidth="1"/>
    <col min="5928" max="5928" width="1.42578125" style="616" hidden="1" customWidth="1"/>
    <col min="5929" max="6144" width="2.42578125" style="616" hidden="1"/>
    <col min="6145" max="6145" width="1.42578125" style="616" hidden="1" customWidth="1"/>
    <col min="6146" max="6146" width="0.85546875" style="616" hidden="1" customWidth="1"/>
    <col min="6147" max="6162" width="2.42578125" style="616" hidden="1" customWidth="1"/>
    <col min="6163" max="6163" width="4" style="616" hidden="1" customWidth="1"/>
    <col min="6164" max="6183" width="2.42578125" style="616" hidden="1" customWidth="1"/>
    <col min="6184" max="6184" width="1.42578125" style="616" hidden="1" customWidth="1"/>
    <col min="6185" max="6400" width="2.42578125" style="616" hidden="1"/>
    <col min="6401" max="6401" width="1.42578125" style="616" hidden="1" customWidth="1"/>
    <col min="6402" max="6402" width="0.85546875" style="616" hidden="1" customWidth="1"/>
    <col min="6403" max="6418" width="2.42578125" style="616" hidden="1" customWidth="1"/>
    <col min="6419" max="6419" width="4" style="616" hidden="1" customWidth="1"/>
    <col min="6420" max="6439" width="2.42578125" style="616" hidden="1" customWidth="1"/>
    <col min="6440" max="6440" width="1.42578125" style="616" hidden="1" customWidth="1"/>
    <col min="6441" max="6656" width="2.42578125" style="616" hidden="1"/>
    <col min="6657" max="6657" width="1.42578125" style="616" hidden="1" customWidth="1"/>
    <col min="6658" max="6658" width="0.85546875" style="616" hidden="1" customWidth="1"/>
    <col min="6659" max="6674" width="2.42578125" style="616" hidden="1" customWidth="1"/>
    <col min="6675" max="6675" width="4" style="616" hidden="1" customWidth="1"/>
    <col min="6676" max="6695" width="2.42578125" style="616" hidden="1" customWidth="1"/>
    <col min="6696" max="6696" width="1.42578125" style="616" hidden="1" customWidth="1"/>
    <col min="6697" max="6912" width="2.42578125" style="616" hidden="1"/>
    <col min="6913" max="6913" width="1.42578125" style="616" hidden="1" customWidth="1"/>
    <col min="6914" max="6914" width="0.85546875" style="616" hidden="1" customWidth="1"/>
    <col min="6915" max="6930" width="2.42578125" style="616" hidden="1" customWidth="1"/>
    <col min="6931" max="6931" width="4" style="616" hidden="1" customWidth="1"/>
    <col min="6932" max="6951" width="2.42578125" style="616" hidden="1" customWidth="1"/>
    <col min="6952" max="6952" width="1.42578125" style="616" hidden="1" customWidth="1"/>
    <col min="6953" max="7168" width="2.42578125" style="616" hidden="1"/>
    <col min="7169" max="7169" width="1.42578125" style="616" hidden="1" customWidth="1"/>
    <col min="7170" max="7170" width="0.85546875" style="616" hidden="1" customWidth="1"/>
    <col min="7171" max="7186" width="2.42578125" style="616" hidden="1" customWidth="1"/>
    <col min="7187" max="7187" width="4" style="616" hidden="1" customWidth="1"/>
    <col min="7188" max="7207" width="2.42578125" style="616" hidden="1" customWidth="1"/>
    <col min="7208" max="7208" width="1.42578125" style="616" hidden="1" customWidth="1"/>
    <col min="7209" max="7424" width="2.42578125" style="616" hidden="1"/>
    <col min="7425" max="7425" width="1.42578125" style="616" hidden="1" customWidth="1"/>
    <col min="7426" max="7426" width="0.85546875" style="616" hidden="1" customWidth="1"/>
    <col min="7427" max="7442" width="2.42578125" style="616" hidden="1" customWidth="1"/>
    <col min="7443" max="7443" width="4" style="616" hidden="1" customWidth="1"/>
    <col min="7444" max="7463" width="2.42578125" style="616" hidden="1" customWidth="1"/>
    <col min="7464" max="7464" width="1.42578125" style="616" hidden="1" customWidth="1"/>
    <col min="7465" max="7680" width="2.42578125" style="616" hidden="1"/>
    <col min="7681" max="7681" width="1.42578125" style="616" hidden="1" customWidth="1"/>
    <col min="7682" max="7682" width="0.85546875" style="616" hidden="1" customWidth="1"/>
    <col min="7683" max="7698" width="2.42578125" style="616" hidden="1" customWidth="1"/>
    <col min="7699" max="7699" width="4" style="616" hidden="1" customWidth="1"/>
    <col min="7700" max="7719" width="2.42578125" style="616" hidden="1" customWidth="1"/>
    <col min="7720" max="7720" width="1.42578125" style="616" hidden="1" customWidth="1"/>
    <col min="7721" max="7936" width="2.42578125" style="616" hidden="1"/>
    <col min="7937" max="7937" width="1.42578125" style="616" hidden="1" customWidth="1"/>
    <col min="7938" max="7938" width="0.85546875" style="616" hidden="1" customWidth="1"/>
    <col min="7939" max="7954" width="2.42578125" style="616" hidden="1" customWidth="1"/>
    <col min="7955" max="7955" width="4" style="616" hidden="1" customWidth="1"/>
    <col min="7956" max="7975" width="2.42578125" style="616" hidden="1" customWidth="1"/>
    <col min="7976" max="7976" width="1.42578125" style="616" hidden="1" customWidth="1"/>
    <col min="7977" max="8192" width="2.42578125" style="616" hidden="1"/>
    <col min="8193" max="8193" width="1.42578125" style="616" hidden="1" customWidth="1"/>
    <col min="8194" max="8194" width="0.85546875" style="616" hidden="1" customWidth="1"/>
    <col min="8195" max="8210" width="2.42578125" style="616" hidden="1" customWidth="1"/>
    <col min="8211" max="8211" width="4" style="616" hidden="1" customWidth="1"/>
    <col min="8212" max="8231" width="2.42578125" style="616" hidden="1" customWidth="1"/>
    <col min="8232" max="8232" width="1.42578125" style="616" hidden="1" customWidth="1"/>
    <col min="8233" max="8448" width="2.42578125" style="616" hidden="1"/>
    <col min="8449" max="8449" width="1.42578125" style="616" hidden="1" customWidth="1"/>
    <col min="8450" max="8450" width="0.85546875" style="616" hidden="1" customWidth="1"/>
    <col min="8451" max="8466" width="2.42578125" style="616" hidden="1" customWidth="1"/>
    <col min="8467" max="8467" width="4" style="616" hidden="1" customWidth="1"/>
    <col min="8468" max="8487" width="2.42578125" style="616" hidden="1" customWidth="1"/>
    <col min="8488" max="8488" width="1.42578125" style="616" hidden="1" customWidth="1"/>
    <col min="8489" max="8704" width="2.42578125" style="616" hidden="1"/>
    <col min="8705" max="8705" width="1.42578125" style="616" hidden="1" customWidth="1"/>
    <col min="8706" max="8706" width="0.85546875" style="616" hidden="1" customWidth="1"/>
    <col min="8707" max="8722" width="2.42578125" style="616" hidden="1" customWidth="1"/>
    <col min="8723" max="8723" width="4" style="616" hidden="1" customWidth="1"/>
    <col min="8724" max="8743" width="2.42578125" style="616" hidden="1" customWidth="1"/>
    <col min="8744" max="8744" width="1.42578125" style="616" hidden="1" customWidth="1"/>
    <col min="8745" max="8960" width="2.42578125" style="616" hidden="1"/>
    <col min="8961" max="8961" width="1.42578125" style="616" hidden="1" customWidth="1"/>
    <col min="8962" max="8962" width="0.85546875" style="616" hidden="1" customWidth="1"/>
    <col min="8963" max="8978" width="2.42578125" style="616" hidden="1" customWidth="1"/>
    <col min="8979" max="8979" width="4" style="616" hidden="1" customWidth="1"/>
    <col min="8980" max="8999" width="2.42578125" style="616" hidden="1" customWidth="1"/>
    <col min="9000" max="9000" width="1.42578125" style="616" hidden="1" customWidth="1"/>
    <col min="9001" max="9216" width="2.42578125" style="616" hidden="1"/>
    <col min="9217" max="9217" width="1.42578125" style="616" hidden="1" customWidth="1"/>
    <col min="9218" max="9218" width="0.85546875" style="616" hidden="1" customWidth="1"/>
    <col min="9219" max="9234" width="2.42578125" style="616" hidden="1" customWidth="1"/>
    <col min="9235" max="9235" width="4" style="616" hidden="1" customWidth="1"/>
    <col min="9236" max="9255" width="2.42578125" style="616" hidden="1" customWidth="1"/>
    <col min="9256" max="9256" width="1.42578125" style="616" hidden="1" customWidth="1"/>
    <col min="9257" max="9472" width="2.42578125" style="616" hidden="1"/>
    <col min="9473" max="9473" width="1.42578125" style="616" hidden="1" customWidth="1"/>
    <col min="9474" max="9474" width="0.85546875" style="616" hidden="1" customWidth="1"/>
    <col min="9475" max="9490" width="2.42578125" style="616" hidden="1" customWidth="1"/>
    <col min="9491" max="9491" width="4" style="616" hidden="1" customWidth="1"/>
    <col min="9492" max="9511" width="2.42578125" style="616" hidden="1" customWidth="1"/>
    <col min="9512" max="9512" width="1.42578125" style="616" hidden="1" customWidth="1"/>
    <col min="9513" max="9728" width="2.42578125" style="616" hidden="1"/>
    <col min="9729" max="9729" width="1.42578125" style="616" hidden="1" customWidth="1"/>
    <col min="9730" max="9730" width="0.85546875" style="616" hidden="1" customWidth="1"/>
    <col min="9731" max="9746" width="2.42578125" style="616" hidden="1" customWidth="1"/>
    <col min="9747" max="9747" width="4" style="616" hidden="1" customWidth="1"/>
    <col min="9748" max="9767" width="2.42578125" style="616" hidden="1" customWidth="1"/>
    <col min="9768" max="9768" width="1.42578125" style="616" hidden="1" customWidth="1"/>
    <col min="9769" max="9984" width="2.42578125" style="616" hidden="1"/>
    <col min="9985" max="9985" width="1.42578125" style="616" hidden="1" customWidth="1"/>
    <col min="9986" max="9986" width="0.85546875" style="616" hidden="1" customWidth="1"/>
    <col min="9987" max="10002" width="2.42578125" style="616" hidden="1" customWidth="1"/>
    <col min="10003" max="10003" width="4" style="616" hidden="1" customWidth="1"/>
    <col min="10004" max="10023" width="2.42578125" style="616" hidden="1" customWidth="1"/>
    <col min="10024" max="10024" width="1.42578125" style="616" hidden="1" customWidth="1"/>
    <col min="10025" max="10240" width="2.42578125" style="616" hidden="1"/>
    <col min="10241" max="10241" width="1.42578125" style="616" hidden="1" customWidth="1"/>
    <col min="10242" max="10242" width="0.85546875" style="616" hidden="1" customWidth="1"/>
    <col min="10243" max="10258" width="2.42578125" style="616" hidden="1" customWidth="1"/>
    <col min="10259" max="10259" width="4" style="616" hidden="1" customWidth="1"/>
    <col min="10260" max="10279" width="2.42578125" style="616" hidden="1" customWidth="1"/>
    <col min="10280" max="10280" width="1.42578125" style="616" hidden="1" customWidth="1"/>
    <col min="10281" max="10496" width="2.42578125" style="616" hidden="1"/>
    <col min="10497" max="10497" width="1.42578125" style="616" hidden="1" customWidth="1"/>
    <col min="10498" max="10498" width="0.85546875" style="616" hidden="1" customWidth="1"/>
    <col min="10499" max="10514" width="2.42578125" style="616" hidden="1" customWidth="1"/>
    <col min="10515" max="10515" width="4" style="616" hidden="1" customWidth="1"/>
    <col min="10516" max="10535" width="2.42578125" style="616" hidden="1" customWidth="1"/>
    <col min="10536" max="10536" width="1.42578125" style="616" hidden="1" customWidth="1"/>
    <col min="10537" max="10752" width="2.42578125" style="616" hidden="1"/>
    <col min="10753" max="10753" width="1.42578125" style="616" hidden="1" customWidth="1"/>
    <col min="10754" max="10754" width="0.85546875" style="616" hidden="1" customWidth="1"/>
    <col min="10755" max="10770" width="2.42578125" style="616" hidden="1" customWidth="1"/>
    <col min="10771" max="10771" width="4" style="616" hidden="1" customWidth="1"/>
    <col min="10772" max="10791" width="2.42578125" style="616" hidden="1" customWidth="1"/>
    <col min="10792" max="10792" width="1.42578125" style="616" hidden="1" customWidth="1"/>
    <col min="10793" max="11008" width="2.42578125" style="616" hidden="1"/>
    <col min="11009" max="11009" width="1.42578125" style="616" hidden="1" customWidth="1"/>
    <col min="11010" max="11010" width="0.85546875" style="616" hidden="1" customWidth="1"/>
    <col min="11011" max="11026" width="2.42578125" style="616" hidden="1" customWidth="1"/>
    <col min="11027" max="11027" width="4" style="616" hidden="1" customWidth="1"/>
    <col min="11028" max="11047" width="2.42578125" style="616" hidden="1" customWidth="1"/>
    <col min="11048" max="11048" width="1.42578125" style="616" hidden="1" customWidth="1"/>
    <col min="11049" max="11264" width="2.42578125" style="616" hidden="1"/>
    <col min="11265" max="11265" width="1.42578125" style="616" hidden="1" customWidth="1"/>
    <col min="11266" max="11266" width="0.85546875" style="616" hidden="1" customWidth="1"/>
    <col min="11267" max="11282" width="2.42578125" style="616" hidden="1" customWidth="1"/>
    <col min="11283" max="11283" width="4" style="616" hidden="1" customWidth="1"/>
    <col min="11284" max="11303" width="2.42578125" style="616" hidden="1" customWidth="1"/>
    <col min="11304" max="11304" width="1.42578125" style="616" hidden="1" customWidth="1"/>
    <col min="11305" max="11520" width="2.42578125" style="616" hidden="1"/>
    <col min="11521" max="11521" width="1.42578125" style="616" hidden="1" customWidth="1"/>
    <col min="11522" max="11522" width="0.85546875" style="616" hidden="1" customWidth="1"/>
    <col min="11523" max="11538" width="2.42578125" style="616" hidden="1" customWidth="1"/>
    <col min="11539" max="11539" width="4" style="616" hidden="1" customWidth="1"/>
    <col min="11540" max="11559" width="2.42578125" style="616" hidden="1" customWidth="1"/>
    <col min="11560" max="11560" width="1.42578125" style="616" hidden="1" customWidth="1"/>
    <col min="11561" max="11776" width="2.42578125" style="616" hidden="1"/>
    <col min="11777" max="11777" width="1.42578125" style="616" hidden="1" customWidth="1"/>
    <col min="11778" max="11778" width="0.85546875" style="616" hidden="1" customWidth="1"/>
    <col min="11779" max="11794" width="2.42578125" style="616" hidden="1" customWidth="1"/>
    <col min="11795" max="11795" width="4" style="616" hidden="1" customWidth="1"/>
    <col min="11796" max="11815" width="2.42578125" style="616" hidden="1" customWidth="1"/>
    <col min="11816" max="11816" width="1.42578125" style="616" hidden="1" customWidth="1"/>
    <col min="11817" max="12032" width="2.42578125" style="616" hidden="1"/>
    <col min="12033" max="12033" width="1.42578125" style="616" hidden="1" customWidth="1"/>
    <col min="12034" max="12034" width="0.85546875" style="616" hidden="1" customWidth="1"/>
    <col min="12035" max="12050" width="2.42578125" style="616" hidden="1" customWidth="1"/>
    <col min="12051" max="12051" width="4" style="616" hidden="1" customWidth="1"/>
    <col min="12052" max="12071" width="2.42578125" style="616" hidden="1" customWidth="1"/>
    <col min="12072" max="12072" width="1.42578125" style="616" hidden="1" customWidth="1"/>
    <col min="12073" max="12288" width="2.42578125" style="616" hidden="1"/>
    <col min="12289" max="12289" width="1.42578125" style="616" hidden="1" customWidth="1"/>
    <col min="12290" max="12290" width="0.85546875" style="616" hidden="1" customWidth="1"/>
    <col min="12291" max="12306" width="2.42578125" style="616" hidden="1" customWidth="1"/>
    <col min="12307" max="12307" width="4" style="616" hidden="1" customWidth="1"/>
    <col min="12308" max="12327" width="2.42578125" style="616" hidden="1" customWidth="1"/>
    <col min="12328" max="12328" width="1.42578125" style="616" hidden="1" customWidth="1"/>
    <col min="12329" max="12544" width="2.42578125" style="616" hidden="1"/>
    <col min="12545" max="12545" width="1.42578125" style="616" hidden="1" customWidth="1"/>
    <col min="12546" max="12546" width="0.85546875" style="616" hidden="1" customWidth="1"/>
    <col min="12547" max="12562" width="2.42578125" style="616" hidden="1" customWidth="1"/>
    <col min="12563" max="12563" width="4" style="616" hidden="1" customWidth="1"/>
    <col min="12564" max="12583" width="2.42578125" style="616" hidden="1" customWidth="1"/>
    <col min="12584" max="12584" width="1.42578125" style="616" hidden="1" customWidth="1"/>
    <col min="12585" max="12800" width="2.42578125" style="616" hidden="1"/>
    <col min="12801" max="12801" width="1.42578125" style="616" hidden="1" customWidth="1"/>
    <col min="12802" max="12802" width="0.85546875" style="616" hidden="1" customWidth="1"/>
    <col min="12803" max="12818" width="2.42578125" style="616" hidden="1" customWidth="1"/>
    <col min="12819" max="12819" width="4" style="616" hidden="1" customWidth="1"/>
    <col min="12820" max="12839" width="2.42578125" style="616" hidden="1" customWidth="1"/>
    <col min="12840" max="12840" width="1.42578125" style="616" hidden="1" customWidth="1"/>
    <col min="12841" max="13056" width="2.42578125" style="616" hidden="1"/>
    <col min="13057" max="13057" width="1.42578125" style="616" hidden="1" customWidth="1"/>
    <col min="13058" max="13058" width="0.85546875" style="616" hidden="1" customWidth="1"/>
    <col min="13059" max="13074" width="2.42578125" style="616" hidden="1" customWidth="1"/>
    <col min="13075" max="13075" width="4" style="616" hidden="1" customWidth="1"/>
    <col min="13076" max="13095" width="2.42578125" style="616" hidden="1" customWidth="1"/>
    <col min="13096" max="13096" width="1.42578125" style="616" hidden="1" customWidth="1"/>
    <col min="13097" max="13312" width="2.42578125" style="616" hidden="1"/>
    <col min="13313" max="13313" width="1.42578125" style="616" hidden="1" customWidth="1"/>
    <col min="13314" max="13314" width="0.85546875" style="616" hidden="1" customWidth="1"/>
    <col min="13315" max="13330" width="2.42578125" style="616" hidden="1" customWidth="1"/>
    <col min="13331" max="13331" width="4" style="616" hidden="1" customWidth="1"/>
    <col min="13332" max="13351" width="2.42578125" style="616" hidden="1" customWidth="1"/>
    <col min="13352" max="13352" width="1.42578125" style="616" hidden="1" customWidth="1"/>
    <col min="13353" max="13568" width="2.42578125" style="616" hidden="1"/>
    <col min="13569" max="13569" width="1.42578125" style="616" hidden="1" customWidth="1"/>
    <col min="13570" max="13570" width="0.85546875" style="616" hidden="1" customWidth="1"/>
    <col min="13571" max="13586" width="2.42578125" style="616" hidden="1" customWidth="1"/>
    <col min="13587" max="13587" width="4" style="616" hidden="1" customWidth="1"/>
    <col min="13588" max="13607" width="2.42578125" style="616" hidden="1" customWidth="1"/>
    <col min="13608" max="13608" width="1.42578125" style="616" hidden="1" customWidth="1"/>
    <col min="13609" max="13824" width="2.42578125" style="616" hidden="1"/>
    <col min="13825" max="13825" width="1.42578125" style="616" hidden="1" customWidth="1"/>
    <col min="13826" max="13826" width="0.85546875" style="616" hidden="1" customWidth="1"/>
    <col min="13827" max="13842" width="2.42578125" style="616" hidden="1" customWidth="1"/>
    <col min="13843" max="13843" width="4" style="616" hidden="1" customWidth="1"/>
    <col min="13844" max="13863" width="2.42578125" style="616" hidden="1" customWidth="1"/>
    <col min="13864" max="13864" width="1.42578125" style="616" hidden="1" customWidth="1"/>
    <col min="13865" max="14080" width="2.42578125" style="616" hidden="1"/>
    <col min="14081" max="14081" width="1.42578125" style="616" hidden="1" customWidth="1"/>
    <col min="14082" max="14082" width="0.85546875" style="616" hidden="1" customWidth="1"/>
    <col min="14083" max="14098" width="2.42578125" style="616" hidden="1" customWidth="1"/>
    <col min="14099" max="14099" width="4" style="616" hidden="1" customWidth="1"/>
    <col min="14100" max="14119" width="2.42578125" style="616" hidden="1" customWidth="1"/>
    <col min="14120" max="14120" width="1.42578125" style="616" hidden="1" customWidth="1"/>
    <col min="14121" max="14336" width="2.42578125" style="616" hidden="1"/>
    <col min="14337" max="14337" width="1.42578125" style="616" hidden="1" customWidth="1"/>
    <col min="14338" max="14338" width="0.85546875" style="616" hidden="1" customWidth="1"/>
    <col min="14339" max="14354" width="2.42578125" style="616" hidden="1" customWidth="1"/>
    <col min="14355" max="14355" width="4" style="616" hidden="1" customWidth="1"/>
    <col min="14356" max="14375" width="2.42578125" style="616" hidden="1" customWidth="1"/>
    <col min="14376" max="14376" width="1.42578125" style="616" hidden="1" customWidth="1"/>
    <col min="14377" max="14592" width="2.42578125" style="616" hidden="1"/>
    <col min="14593" max="14593" width="1.42578125" style="616" hidden="1" customWidth="1"/>
    <col min="14594" max="14594" width="0.85546875" style="616" hidden="1" customWidth="1"/>
    <col min="14595" max="14610" width="2.42578125" style="616" hidden="1" customWidth="1"/>
    <col min="14611" max="14611" width="4" style="616" hidden="1" customWidth="1"/>
    <col min="14612" max="14631" width="2.42578125" style="616" hidden="1" customWidth="1"/>
    <col min="14632" max="14632" width="1.42578125" style="616" hidden="1" customWidth="1"/>
    <col min="14633" max="14848" width="2.42578125" style="616" hidden="1"/>
    <col min="14849" max="14849" width="1.42578125" style="616" hidden="1" customWidth="1"/>
    <col min="14850" max="14850" width="0.85546875" style="616" hidden="1" customWidth="1"/>
    <col min="14851" max="14866" width="2.42578125" style="616" hidden="1" customWidth="1"/>
    <col min="14867" max="14867" width="4" style="616" hidden="1" customWidth="1"/>
    <col min="14868" max="14887" width="2.42578125" style="616" hidden="1" customWidth="1"/>
    <col min="14888" max="14888" width="1.42578125" style="616" hidden="1" customWidth="1"/>
    <col min="14889" max="15104" width="2.42578125" style="616" hidden="1"/>
    <col min="15105" max="15105" width="1.42578125" style="616" hidden="1" customWidth="1"/>
    <col min="15106" max="15106" width="0.85546875" style="616" hidden="1" customWidth="1"/>
    <col min="15107" max="15122" width="2.42578125" style="616" hidden="1" customWidth="1"/>
    <col min="15123" max="15123" width="4" style="616" hidden="1" customWidth="1"/>
    <col min="15124" max="15143" width="2.42578125" style="616" hidden="1" customWidth="1"/>
    <col min="15144" max="15144" width="1.42578125" style="616" hidden="1" customWidth="1"/>
    <col min="15145" max="15360" width="2.42578125" style="616" hidden="1"/>
    <col min="15361" max="15361" width="1.42578125" style="616" hidden="1" customWidth="1"/>
    <col min="15362" max="15362" width="0.85546875" style="616" hidden="1" customWidth="1"/>
    <col min="15363" max="15378" width="2.42578125" style="616" hidden="1" customWidth="1"/>
    <col min="15379" max="15379" width="4" style="616" hidden="1" customWidth="1"/>
    <col min="15380" max="15399" width="2.42578125" style="616" hidden="1" customWidth="1"/>
    <col min="15400" max="15400" width="1.42578125" style="616" hidden="1" customWidth="1"/>
    <col min="15401" max="15616" width="2.42578125" style="616" hidden="1"/>
    <col min="15617" max="15617" width="1.42578125" style="616" hidden="1" customWidth="1"/>
    <col min="15618" max="15618" width="0.85546875" style="616" hidden="1" customWidth="1"/>
    <col min="15619" max="15634" width="2.42578125" style="616" hidden="1" customWidth="1"/>
    <col min="15635" max="15635" width="4" style="616" hidden="1" customWidth="1"/>
    <col min="15636" max="15655" width="2.42578125" style="616" hidden="1" customWidth="1"/>
    <col min="15656" max="15656" width="1.42578125" style="616" hidden="1" customWidth="1"/>
    <col min="15657" max="15872" width="2.42578125" style="616" hidden="1"/>
    <col min="15873" max="15873" width="1.42578125" style="616" hidden="1" customWidth="1"/>
    <col min="15874" max="15874" width="0.85546875" style="616" hidden="1" customWidth="1"/>
    <col min="15875" max="15890" width="2.42578125" style="616" hidden="1" customWidth="1"/>
    <col min="15891" max="15891" width="4" style="616" hidden="1" customWidth="1"/>
    <col min="15892" max="15911" width="2.42578125" style="616" hidden="1" customWidth="1"/>
    <col min="15912" max="15912" width="1.42578125" style="616" hidden="1" customWidth="1"/>
    <col min="15913" max="16128" width="2.42578125" style="616" hidden="1"/>
    <col min="16129" max="16129" width="1.42578125" style="616" hidden="1" customWidth="1"/>
    <col min="16130" max="16130" width="0.85546875" style="616" hidden="1" customWidth="1"/>
    <col min="16131" max="16146" width="2.42578125" style="616" hidden="1" customWidth="1"/>
    <col min="16147" max="16147" width="4" style="616" hidden="1" customWidth="1"/>
    <col min="16148" max="16167" width="2.42578125" style="616" hidden="1" customWidth="1"/>
    <col min="16168" max="16168" width="1.42578125" style="616" hidden="1" customWidth="1"/>
    <col min="16169" max="16384" width="2.42578125" style="616" hidden="1"/>
  </cols>
  <sheetData>
    <row r="1" spans="1:98" ht="12.75" customHeight="1">
      <c r="A1" s="3310" t="s">
        <v>1520</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c r="AN1" s="3310"/>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11"/>
      <c r="B2" s="3311"/>
      <c r="C2" s="3311"/>
      <c r="D2" s="3311"/>
      <c r="E2" s="3311"/>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327</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1451</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35" customHeight="1">
      <c r="A7" s="616"/>
      <c r="B7" s="622"/>
      <c r="C7" s="623"/>
      <c r="D7" s="623"/>
      <c r="E7" s="623"/>
      <c r="F7" s="623"/>
      <c r="G7" s="623"/>
      <c r="H7" s="623"/>
      <c r="I7" s="623"/>
      <c r="J7" s="623"/>
      <c r="K7" s="623"/>
      <c r="L7" s="623"/>
      <c r="M7" s="623"/>
      <c r="N7" s="623"/>
      <c r="O7" s="623"/>
      <c r="P7" s="623"/>
      <c r="Q7" s="623"/>
      <c r="R7" s="623"/>
      <c r="S7" s="623"/>
      <c r="T7" s="3312" t="str">
        <f xml:space="preserve"> IF(T25=100%,'Sources and Basis Breakdown'!G2,'Sources and Basis Breakdown'!F2)</f>
        <v>30% PVC for New Const/
Rehabilitation
DDA/QCT
Building(s)</v>
      </c>
      <c r="U7" s="3312"/>
      <c r="V7" s="3312"/>
      <c r="W7" s="3312"/>
      <c r="X7" s="3312"/>
      <c r="Y7" s="3312" t="str">
        <f>IF(T25=100%," ",'Sources and Basis Breakdown'!G2)</f>
        <v>30% PVC for New Const/
Rehabilitation
NON-DDA/
NON-QCT Building(s)</v>
      </c>
      <c r="Z7" s="3312"/>
      <c r="AA7" s="3312"/>
      <c r="AB7" s="3312"/>
      <c r="AC7" s="3312"/>
      <c r="AD7" s="3312" t="str">
        <f xml:space="preserve"> IF(T25=100%, 'Sources and Basis Breakdown'!J2,'Sources and Basis Breakdown'!I2)</f>
        <v>30% PVC for Acquisition
DDA/QCT Building(s)</v>
      </c>
      <c r="AE7" s="3312"/>
      <c r="AF7" s="3312"/>
      <c r="AG7" s="3312"/>
      <c r="AH7" s="3312"/>
      <c r="AI7" s="3312" t="str">
        <f>IF(T25=100%," ",'Sources and Basis Breakdown'!J2)</f>
        <v>30% PVC for Acquisition
NON-DDA/
NON-QCT Building(s)</v>
      </c>
      <c r="AJ7" s="3312"/>
      <c r="AK7" s="3312"/>
      <c r="AL7" s="3312"/>
      <c r="AM7" s="3312"/>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12"/>
      <c r="U8" s="3312"/>
      <c r="V8" s="3312"/>
      <c r="W8" s="3312"/>
      <c r="X8" s="3312"/>
      <c r="Y8" s="3312"/>
      <c r="Z8" s="3312"/>
      <c r="AA8" s="3312"/>
      <c r="AB8" s="3312"/>
      <c r="AC8" s="3312"/>
      <c r="AD8" s="3312"/>
      <c r="AE8" s="3312"/>
      <c r="AF8" s="3312"/>
      <c r="AG8" s="3312"/>
      <c r="AH8" s="3312"/>
      <c r="AI8" s="3312"/>
      <c r="AJ8" s="3312"/>
      <c r="AK8" s="3312"/>
      <c r="AL8" s="3312"/>
      <c r="AM8" s="3312"/>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12"/>
      <c r="U9" s="3312"/>
      <c r="V9" s="3312"/>
      <c r="W9" s="3312"/>
      <c r="X9" s="3312"/>
      <c r="Y9" s="3312"/>
      <c r="Z9" s="3312"/>
      <c r="AA9" s="3312"/>
      <c r="AB9" s="3312"/>
      <c r="AC9" s="3312"/>
      <c r="AD9" s="3312"/>
      <c r="AE9" s="3312"/>
      <c r="AF9" s="3312"/>
      <c r="AG9" s="3312"/>
      <c r="AH9" s="3312"/>
      <c r="AI9" s="3312"/>
      <c r="AJ9" s="3312"/>
      <c r="AK9" s="3312"/>
      <c r="AL9" s="3312"/>
      <c r="AM9" s="3312"/>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85" customHeight="1">
      <c r="A10" s="616"/>
      <c r="B10" s="626"/>
      <c r="C10" s="627"/>
      <c r="D10" s="627"/>
      <c r="E10" s="627"/>
      <c r="F10" s="627"/>
      <c r="G10" s="627"/>
      <c r="H10" s="627"/>
      <c r="I10" s="627"/>
      <c r="J10" s="627"/>
      <c r="K10" s="627"/>
      <c r="L10" s="627"/>
      <c r="M10" s="627"/>
      <c r="N10" s="627"/>
      <c r="O10" s="627"/>
      <c r="P10" s="627"/>
      <c r="Q10" s="627"/>
      <c r="R10" s="627"/>
      <c r="S10" s="627"/>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280" t="s">
        <v>392</v>
      </c>
      <c r="C11" s="3281"/>
      <c r="D11" s="3281"/>
      <c r="E11" s="3281"/>
      <c r="F11" s="3281"/>
      <c r="G11" s="3281"/>
      <c r="H11" s="3281"/>
      <c r="I11" s="3281"/>
      <c r="J11" s="3281"/>
      <c r="K11" s="3281"/>
      <c r="L11" s="3281"/>
      <c r="M11" s="3281"/>
      <c r="N11" s="3281"/>
      <c r="O11" s="3281"/>
      <c r="P11" s="3281"/>
      <c r="Q11" s="3281"/>
      <c r="R11" s="3281"/>
      <c r="S11" s="3282"/>
      <c r="T11" s="3313">
        <f>IF('Sources and Basis Breakdown'!F107=0,'Sources and Basis Breakdown'!E107,'Sources and Basis Breakdown'!F107)</f>
        <v>32956004</v>
      </c>
      <c r="U11" s="3314"/>
      <c r="V11" s="3314"/>
      <c r="W11" s="3314"/>
      <c r="X11" s="3314"/>
      <c r="Y11" s="3313">
        <f>IF(Y7=" ",0,IF('Sources and Basis Breakdown'!G107+'Sources and Basis Breakdown'!F107='Sources and Basis Breakdown'!E107,'Sources and Basis Breakdown'!G107,0))</f>
        <v>0</v>
      </c>
      <c r="Z11" s="3314"/>
      <c r="AA11" s="3314"/>
      <c r="AB11" s="3314"/>
      <c r="AC11" s="3314"/>
      <c r="AD11" s="3314">
        <f>IF('Sources and Basis Breakdown'!I107=0,'Sources and Basis Breakdown'!H107,'Sources and Basis Breakdown'!I107)</f>
        <v>0</v>
      </c>
      <c r="AE11" s="3314"/>
      <c r="AF11" s="3314"/>
      <c r="AG11" s="3314"/>
      <c r="AH11" s="3314"/>
      <c r="AI11" s="3314">
        <f>IF(Y7=" ",0,IF('Sources and Basis Breakdown'!I107+'Sources and Basis Breakdown'!J107='Sources and Basis Breakdown'!H107,'Sources and Basis Breakdown'!J107,0))</f>
        <v>0</v>
      </c>
      <c r="AJ11" s="3314"/>
      <c r="AK11" s="3314"/>
      <c r="AL11" s="3314"/>
      <c r="AM11" s="3314"/>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305" t="s">
        <v>529</v>
      </c>
      <c r="C12" s="3306"/>
      <c r="D12" s="3306"/>
      <c r="E12" s="3306"/>
      <c r="F12" s="3306"/>
      <c r="G12" s="3306"/>
      <c r="H12" s="3306"/>
      <c r="I12" s="3306"/>
      <c r="J12" s="3306"/>
      <c r="K12" s="3306"/>
      <c r="L12" s="3306"/>
      <c r="M12" s="3306"/>
      <c r="N12" s="3306"/>
      <c r="O12" s="3306"/>
      <c r="P12" s="3306"/>
      <c r="Q12" s="3306"/>
      <c r="R12" s="3306"/>
      <c r="S12" s="3307"/>
      <c r="T12" s="3268"/>
      <c r="U12" s="3269"/>
      <c r="V12" s="3269"/>
      <c r="W12" s="3269"/>
      <c r="X12" s="3270"/>
      <c r="Y12" s="3268"/>
      <c r="Z12" s="3269"/>
      <c r="AA12" s="3269"/>
      <c r="AB12" s="3269"/>
      <c r="AC12" s="3270"/>
      <c r="AD12" s="3268"/>
      <c r="AE12" s="3269"/>
      <c r="AF12" s="3269"/>
      <c r="AG12" s="3269"/>
      <c r="AH12" s="3270"/>
      <c r="AI12" s="3268"/>
      <c r="AJ12" s="3269"/>
      <c r="AK12" s="3269"/>
      <c r="AL12" s="3269"/>
      <c r="AM12" s="3270"/>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08" t="s">
        <v>530</v>
      </c>
      <c r="D13" s="3308"/>
      <c r="E13" s="3308"/>
      <c r="F13" s="3308"/>
      <c r="G13" s="3308"/>
      <c r="H13" s="3308"/>
      <c r="I13" s="3308"/>
      <c r="J13" s="3308"/>
      <c r="K13" s="3308"/>
      <c r="L13" s="3308"/>
      <c r="M13" s="3308"/>
      <c r="N13" s="3308"/>
      <c r="O13" s="3308"/>
      <c r="P13" s="3308"/>
      <c r="Q13" s="3308"/>
      <c r="R13" s="3308"/>
      <c r="S13" s="3309"/>
      <c r="T13" s="3315"/>
      <c r="U13" s="3316"/>
      <c r="V13" s="3316"/>
      <c r="W13" s="3316"/>
      <c r="X13" s="3316"/>
      <c r="Y13" s="3315"/>
      <c r="Z13" s="3316"/>
      <c r="AA13" s="3316"/>
      <c r="AB13" s="3316"/>
      <c r="AC13" s="3316"/>
      <c r="AD13" s="3316"/>
      <c r="AE13" s="3316"/>
      <c r="AF13" s="3316"/>
      <c r="AG13" s="3316"/>
      <c r="AH13" s="3316"/>
      <c r="AI13" s="3316"/>
      <c r="AJ13" s="3316"/>
      <c r="AK13" s="3316"/>
      <c r="AL13" s="3316"/>
      <c r="AM13" s="3316"/>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08" t="s">
        <v>531</v>
      </c>
      <c r="D14" s="3308"/>
      <c r="E14" s="3308"/>
      <c r="F14" s="3308"/>
      <c r="G14" s="3308"/>
      <c r="H14" s="3308"/>
      <c r="I14" s="3308"/>
      <c r="J14" s="3308"/>
      <c r="K14" s="3308"/>
      <c r="L14" s="3308"/>
      <c r="M14" s="3308"/>
      <c r="N14" s="3308"/>
      <c r="O14" s="3308"/>
      <c r="P14" s="3308"/>
      <c r="Q14" s="3308"/>
      <c r="R14" s="3308"/>
      <c r="S14" s="3309"/>
      <c r="T14" s="3271"/>
      <c r="U14" s="3272"/>
      <c r="V14" s="3272"/>
      <c r="W14" s="3272"/>
      <c r="X14" s="3272"/>
      <c r="Y14" s="3271"/>
      <c r="Z14" s="3272"/>
      <c r="AA14" s="3272"/>
      <c r="AB14" s="3272"/>
      <c r="AC14" s="3272"/>
      <c r="AD14" s="3272"/>
      <c r="AE14" s="3272"/>
      <c r="AF14" s="3272"/>
      <c r="AG14" s="3272"/>
      <c r="AH14" s="3272"/>
      <c r="AI14" s="3272"/>
      <c r="AJ14" s="3272"/>
      <c r="AK14" s="3272"/>
      <c r="AL14" s="3272"/>
      <c r="AM14" s="3272"/>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08" t="s">
        <v>532</v>
      </c>
      <c r="D15" s="3308"/>
      <c r="E15" s="3308"/>
      <c r="F15" s="3308"/>
      <c r="G15" s="3308"/>
      <c r="H15" s="3308"/>
      <c r="I15" s="3308"/>
      <c r="J15" s="3308"/>
      <c r="K15" s="3308"/>
      <c r="L15" s="3308"/>
      <c r="M15" s="3308"/>
      <c r="N15" s="3308"/>
      <c r="O15" s="3308"/>
      <c r="P15" s="3308"/>
      <c r="Q15" s="3308"/>
      <c r="R15" s="3308"/>
      <c r="S15" s="3309"/>
      <c r="T15" s="3271"/>
      <c r="U15" s="3272"/>
      <c r="V15" s="3272"/>
      <c r="W15" s="3272"/>
      <c r="X15" s="3272"/>
      <c r="Y15" s="3271"/>
      <c r="Z15" s="3272"/>
      <c r="AA15" s="3272"/>
      <c r="AB15" s="3272"/>
      <c r="AC15" s="3272"/>
      <c r="AD15" s="3272"/>
      <c r="AE15" s="3272"/>
      <c r="AF15" s="3272"/>
      <c r="AG15" s="3272"/>
      <c r="AH15" s="3272"/>
      <c r="AI15" s="3272"/>
      <c r="AJ15" s="3272"/>
      <c r="AK15" s="3272"/>
      <c r="AL15" s="3272"/>
      <c r="AM15" s="3272"/>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08" t="s">
        <v>863</v>
      </c>
      <c r="D16" s="3308"/>
      <c r="E16" s="3308"/>
      <c r="F16" s="3308"/>
      <c r="G16" s="3308"/>
      <c r="H16" s="3308"/>
      <c r="I16" s="3308"/>
      <c r="J16" s="3308"/>
      <c r="K16" s="3308"/>
      <c r="L16" s="3308"/>
      <c r="M16" s="3308"/>
      <c r="N16" s="3308"/>
      <c r="O16" s="3308"/>
      <c r="P16" s="3308"/>
      <c r="Q16" s="3308"/>
      <c r="R16" s="3308"/>
      <c r="S16" s="3309"/>
      <c r="T16" s="3271"/>
      <c r="U16" s="3272"/>
      <c r="V16" s="3272"/>
      <c r="W16" s="3272"/>
      <c r="X16" s="3272"/>
      <c r="Y16" s="3271"/>
      <c r="Z16" s="3272"/>
      <c r="AA16" s="3272"/>
      <c r="AB16" s="3272"/>
      <c r="AC16" s="3272"/>
      <c r="AD16" s="3272"/>
      <c r="AE16" s="3272"/>
      <c r="AF16" s="3272"/>
      <c r="AG16" s="3272"/>
      <c r="AH16" s="3272"/>
      <c r="AI16" s="3272"/>
      <c r="AJ16" s="3272"/>
      <c r="AK16" s="3272"/>
      <c r="AL16" s="3272"/>
      <c r="AM16" s="3272"/>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08" t="s">
        <v>533</v>
      </c>
      <c r="D17" s="3308"/>
      <c r="E17" s="3308"/>
      <c r="F17" s="3308"/>
      <c r="G17" s="3308"/>
      <c r="H17" s="3308"/>
      <c r="I17" s="3308"/>
      <c r="J17" s="3308"/>
      <c r="K17" s="3308"/>
      <c r="L17" s="3308"/>
      <c r="M17" s="3308"/>
      <c r="N17" s="3308"/>
      <c r="O17" s="3308"/>
      <c r="P17" s="3308"/>
      <c r="Q17" s="3308"/>
      <c r="R17" s="3308"/>
      <c r="S17" s="3309"/>
      <c r="T17" s="3271"/>
      <c r="U17" s="3272"/>
      <c r="V17" s="3272"/>
      <c r="W17" s="3272"/>
      <c r="X17" s="3272"/>
      <c r="Y17" s="3271"/>
      <c r="Z17" s="3272"/>
      <c r="AA17" s="3272"/>
      <c r="AB17" s="3272"/>
      <c r="AC17" s="3272"/>
      <c r="AD17" s="3272"/>
      <c r="AE17" s="3272"/>
      <c r="AF17" s="3272"/>
      <c r="AG17" s="3272"/>
      <c r="AH17" s="3272"/>
      <c r="AI17" s="3272"/>
      <c r="AJ17" s="3272"/>
      <c r="AK17" s="3272"/>
      <c r="AL17" s="3272"/>
      <c r="AM17" s="3272"/>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303" t="s">
        <v>1038</v>
      </c>
      <c r="D18" s="3303"/>
      <c r="E18" s="3303"/>
      <c r="F18" s="3303"/>
      <c r="G18" s="3303"/>
      <c r="H18" s="3303"/>
      <c r="I18" s="3303"/>
      <c r="J18" s="3303"/>
      <c r="K18" s="3303"/>
      <c r="L18" s="3303"/>
      <c r="M18" s="3303"/>
      <c r="N18" s="3303"/>
      <c r="O18" s="3303"/>
      <c r="P18" s="3303"/>
      <c r="Q18" s="3303"/>
      <c r="R18" s="3303"/>
      <c r="S18" s="3304"/>
      <c r="T18" s="3271"/>
      <c r="U18" s="3272"/>
      <c r="V18" s="3272"/>
      <c r="W18" s="3272"/>
      <c r="X18" s="3272"/>
      <c r="Y18" s="3271"/>
      <c r="Z18" s="3272"/>
      <c r="AA18" s="3272"/>
      <c r="AB18" s="3272"/>
      <c r="AC18" s="3272"/>
      <c r="AD18" s="3272"/>
      <c r="AE18" s="3272"/>
      <c r="AF18" s="3272"/>
      <c r="AG18" s="3272"/>
      <c r="AH18" s="3272"/>
      <c r="AI18" s="3272"/>
      <c r="AJ18" s="3272"/>
      <c r="AK18" s="3272"/>
      <c r="AL18" s="3272"/>
      <c r="AM18" s="3272"/>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303" t="s">
        <v>1038</v>
      </c>
      <c r="D19" s="3303"/>
      <c r="E19" s="3303"/>
      <c r="F19" s="3303"/>
      <c r="G19" s="3303"/>
      <c r="H19" s="3303"/>
      <c r="I19" s="3303"/>
      <c r="J19" s="3303"/>
      <c r="K19" s="3303"/>
      <c r="L19" s="3303"/>
      <c r="M19" s="3303"/>
      <c r="N19" s="3303"/>
      <c r="O19" s="3303"/>
      <c r="P19" s="3303"/>
      <c r="Q19" s="3303"/>
      <c r="R19" s="3303"/>
      <c r="S19" s="3304"/>
      <c r="T19" s="3271"/>
      <c r="U19" s="3272"/>
      <c r="V19" s="3272"/>
      <c r="W19" s="3272"/>
      <c r="X19" s="3272"/>
      <c r="Y19" s="3271"/>
      <c r="Z19" s="3272"/>
      <c r="AA19" s="3272"/>
      <c r="AB19" s="3272"/>
      <c r="AC19" s="3272"/>
      <c r="AD19" s="3272"/>
      <c r="AE19" s="3272"/>
      <c r="AF19" s="3272"/>
      <c r="AG19" s="3272"/>
      <c r="AH19" s="3272"/>
      <c r="AI19" s="3272"/>
      <c r="AJ19" s="3272"/>
      <c r="AK19" s="3272"/>
      <c r="AL19" s="3272"/>
      <c r="AM19" s="3272"/>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280" t="s">
        <v>534</v>
      </c>
      <c r="C20" s="3281"/>
      <c r="D20" s="3281"/>
      <c r="E20" s="3281"/>
      <c r="F20" s="3281"/>
      <c r="G20" s="3281"/>
      <c r="H20" s="3281"/>
      <c r="I20" s="3281"/>
      <c r="J20" s="3281"/>
      <c r="K20" s="3281"/>
      <c r="L20" s="3281"/>
      <c r="M20" s="3281"/>
      <c r="N20" s="3281"/>
      <c r="O20" s="3281"/>
      <c r="P20" s="3281"/>
      <c r="Q20" s="3281"/>
      <c r="R20" s="3281"/>
      <c r="S20" s="3282"/>
      <c r="T20" s="3273">
        <f>SUM(T13:X19)</f>
        <v>0</v>
      </c>
      <c r="U20" s="3274"/>
      <c r="V20" s="3274"/>
      <c r="W20" s="3274"/>
      <c r="X20" s="3274"/>
      <c r="Y20" s="3273">
        <f>SUM(Y13:AC19)</f>
        <v>0</v>
      </c>
      <c r="Z20" s="3274"/>
      <c r="AA20" s="3274"/>
      <c r="AB20" s="3274"/>
      <c r="AC20" s="3274"/>
      <c r="AD20" s="3275">
        <f>SUM(AD13:AH19)</f>
        <v>0</v>
      </c>
      <c r="AE20" s="3276"/>
      <c r="AF20" s="3276"/>
      <c r="AG20" s="3276"/>
      <c r="AH20" s="3273"/>
      <c r="AI20" s="3275">
        <f>SUM(AI13:AM19)</f>
        <v>0</v>
      </c>
      <c r="AJ20" s="3276"/>
      <c r="AK20" s="3276"/>
      <c r="AL20" s="3276"/>
      <c r="AM20" s="3273"/>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280" t="s">
        <v>1493</v>
      </c>
      <c r="C21" s="3281"/>
      <c r="D21" s="3281"/>
      <c r="E21" s="3281"/>
      <c r="F21" s="3281"/>
      <c r="G21" s="3281"/>
      <c r="H21" s="3281"/>
      <c r="I21" s="3281"/>
      <c r="J21" s="3281"/>
      <c r="K21" s="3281"/>
      <c r="L21" s="3281"/>
      <c r="M21" s="3281"/>
      <c r="N21" s="3281"/>
      <c r="O21" s="3281"/>
      <c r="P21" s="3281"/>
      <c r="Q21" s="3281"/>
      <c r="R21" s="3281"/>
      <c r="S21" s="3282"/>
      <c r="T21" s="3271"/>
      <c r="U21" s="3272"/>
      <c r="V21" s="3272"/>
      <c r="W21" s="3272"/>
      <c r="X21" s="3272"/>
      <c r="Y21" s="3271"/>
      <c r="Z21" s="3272"/>
      <c r="AA21" s="3272"/>
      <c r="AB21" s="3272"/>
      <c r="AC21" s="3272"/>
      <c r="AD21" s="3268"/>
      <c r="AE21" s="3269"/>
      <c r="AF21" s="3269"/>
      <c r="AG21" s="3269"/>
      <c r="AH21" s="3270"/>
      <c r="AI21" s="3268"/>
      <c r="AJ21" s="3269"/>
      <c r="AK21" s="3269"/>
      <c r="AL21" s="3269"/>
      <c r="AM21" s="3270"/>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280" t="s">
        <v>535</v>
      </c>
      <c r="C22" s="3281"/>
      <c r="D22" s="3281"/>
      <c r="E22" s="3281"/>
      <c r="F22" s="3281"/>
      <c r="G22" s="3281"/>
      <c r="H22" s="3281"/>
      <c r="I22" s="3281"/>
      <c r="J22" s="3281"/>
      <c r="K22" s="3281"/>
      <c r="L22" s="3281"/>
      <c r="M22" s="3281"/>
      <c r="N22" s="3281"/>
      <c r="O22" s="3281"/>
      <c r="P22" s="3281"/>
      <c r="Q22" s="3281"/>
      <c r="R22" s="3281"/>
      <c r="S22" s="3282"/>
      <c r="T22" s="3317">
        <f>(T20+T21)*-1</f>
        <v>0</v>
      </c>
      <c r="U22" s="3318"/>
      <c r="V22" s="3318"/>
      <c r="W22" s="3318"/>
      <c r="X22" s="3318"/>
      <c r="Y22" s="3317">
        <f>(Y20+Y21)*-1</f>
        <v>0</v>
      </c>
      <c r="Z22" s="3318"/>
      <c r="AA22" s="3318"/>
      <c r="AB22" s="3318"/>
      <c r="AC22" s="3318"/>
      <c r="AD22" s="3319">
        <f>(AD20)*-1</f>
        <v>0</v>
      </c>
      <c r="AE22" s="3320"/>
      <c r="AF22" s="3320"/>
      <c r="AG22" s="3320"/>
      <c r="AH22" s="3317"/>
      <c r="AI22" s="3319">
        <f>(AI20)*-1</f>
        <v>0</v>
      </c>
      <c r="AJ22" s="3320"/>
      <c r="AK22" s="3320"/>
      <c r="AL22" s="3320"/>
      <c r="AM22" s="3317"/>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283" t="s">
        <v>536</v>
      </c>
      <c r="C23" s="3284"/>
      <c r="D23" s="3284"/>
      <c r="E23" s="3284"/>
      <c r="F23" s="3284"/>
      <c r="G23" s="3284"/>
      <c r="H23" s="3284"/>
      <c r="I23" s="3284"/>
      <c r="J23" s="3284"/>
      <c r="K23" s="3284"/>
      <c r="L23" s="3284"/>
      <c r="M23" s="3284"/>
      <c r="N23" s="3284"/>
      <c r="O23" s="3284"/>
      <c r="P23" s="3284"/>
      <c r="Q23" s="3284"/>
      <c r="R23" s="3284"/>
      <c r="S23" s="3285"/>
      <c r="T23" s="3273">
        <f>T11+T22</f>
        <v>32956004</v>
      </c>
      <c r="U23" s="3274"/>
      <c r="V23" s="3274"/>
      <c r="W23" s="3274"/>
      <c r="X23" s="3274"/>
      <c r="Y23" s="3273">
        <f>Y11+Y22</f>
        <v>0</v>
      </c>
      <c r="Z23" s="3274"/>
      <c r="AA23" s="3274"/>
      <c r="AB23" s="3274"/>
      <c r="AC23" s="3274"/>
      <c r="AD23" s="3273">
        <f>AD11+AD22</f>
        <v>0</v>
      </c>
      <c r="AE23" s="3274"/>
      <c r="AF23" s="3274"/>
      <c r="AG23" s="3274"/>
      <c r="AH23" s="3274"/>
      <c r="AI23" s="3273">
        <f>AI11+AI22</f>
        <v>0</v>
      </c>
      <c r="AJ23" s="3274"/>
      <c r="AK23" s="3274"/>
      <c r="AL23" s="3274"/>
      <c r="AM23" s="3274"/>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280" t="s">
        <v>1039</v>
      </c>
      <c r="C24" s="3281"/>
      <c r="D24" s="3281"/>
      <c r="E24" s="3281"/>
      <c r="F24" s="3281"/>
      <c r="G24" s="3281"/>
      <c r="H24" s="3281"/>
      <c r="I24" s="3281"/>
      <c r="J24" s="3281"/>
      <c r="K24" s="3281"/>
      <c r="L24" s="3281"/>
      <c r="M24" s="3281"/>
      <c r="N24" s="3281"/>
      <c r="O24" s="3281"/>
      <c r="P24" s="3281"/>
      <c r="Q24" s="3281"/>
      <c r="R24" s="3281"/>
      <c r="S24" s="3282"/>
      <c r="T24" s="3275">
        <f>Application!AJ1032</f>
        <v>45693163.390000001</v>
      </c>
      <c r="U24" s="3276"/>
      <c r="V24" s="3276"/>
      <c r="W24" s="3276"/>
      <c r="X24" s="3276"/>
      <c r="Y24" s="3276"/>
      <c r="Z24" s="3276"/>
      <c r="AA24" s="3276"/>
      <c r="AB24" s="3276"/>
      <c r="AC24" s="3276"/>
      <c r="AD24" s="3276"/>
      <c r="AE24" s="3276"/>
      <c r="AF24" s="3276"/>
      <c r="AG24" s="3276"/>
      <c r="AH24" s="3276"/>
      <c r="AI24" s="3276"/>
      <c r="AJ24" s="3276"/>
      <c r="AK24" s="3276"/>
      <c r="AL24" s="3276"/>
      <c r="AM24" s="3273"/>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287" t="s">
        <v>1494</v>
      </c>
      <c r="C25" s="3288"/>
      <c r="D25" s="3288"/>
      <c r="E25" s="3288"/>
      <c r="F25" s="3288"/>
      <c r="G25" s="3288"/>
      <c r="H25" s="3288"/>
      <c r="I25" s="3288"/>
      <c r="J25" s="3288"/>
      <c r="K25" s="3288"/>
      <c r="L25" s="3288"/>
      <c r="M25" s="3288"/>
      <c r="N25" s="3288"/>
      <c r="O25" s="3288"/>
      <c r="P25" s="3288"/>
      <c r="Q25" s="3288"/>
      <c r="R25" s="3288"/>
      <c r="S25" s="3289"/>
      <c r="T25" s="3321">
        <f>IF(OR(Application!T195="yes",Application!T194="yes"),1.3,1)</f>
        <v>1.3</v>
      </c>
      <c r="U25" s="3322"/>
      <c r="V25" s="3322"/>
      <c r="W25" s="3322"/>
      <c r="X25" s="3322"/>
      <c r="Y25" s="3321">
        <v>1</v>
      </c>
      <c r="Z25" s="3322"/>
      <c r="AA25" s="3322"/>
      <c r="AB25" s="3322"/>
      <c r="AC25" s="3322"/>
      <c r="AD25" s="3321">
        <v>1</v>
      </c>
      <c r="AE25" s="3322"/>
      <c r="AF25" s="3322"/>
      <c r="AG25" s="3322"/>
      <c r="AH25" s="3323"/>
      <c r="AI25" s="3321">
        <v>1</v>
      </c>
      <c r="AJ25" s="3322"/>
      <c r="AK25" s="3322"/>
      <c r="AL25" s="3322"/>
      <c r="AM25" s="3323"/>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280" t="s">
        <v>537</v>
      </c>
      <c r="C26" s="3281"/>
      <c r="D26" s="3281"/>
      <c r="E26" s="3281"/>
      <c r="F26" s="3281"/>
      <c r="G26" s="3281"/>
      <c r="H26" s="3281"/>
      <c r="I26" s="3281"/>
      <c r="J26" s="3281"/>
      <c r="K26" s="3281"/>
      <c r="L26" s="3281"/>
      <c r="M26" s="3281"/>
      <c r="N26" s="3281"/>
      <c r="O26" s="3281"/>
      <c r="P26" s="3281"/>
      <c r="Q26" s="3281"/>
      <c r="R26" s="3281"/>
      <c r="S26" s="3282"/>
      <c r="T26" s="3324">
        <f>T23*T25</f>
        <v>42842805.200000003</v>
      </c>
      <c r="U26" s="3325"/>
      <c r="V26" s="3325"/>
      <c r="W26" s="3325"/>
      <c r="X26" s="3325"/>
      <c r="Y26" s="3324">
        <f>Y23*Y25</f>
        <v>0</v>
      </c>
      <c r="Z26" s="3325"/>
      <c r="AA26" s="3325"/>
      <c r="AB26" s="3325"/>
      <c r="AC26" s="3325"/>
      <c r="AD26" s="3324">
        <f>AD23*AD25</f>
        <v>0</v>
      </c>
      <c r="AE26" s="3325"/>
      <c r="AF26" s="3325"/>
      <c r="AG26" s="3325"/>
      <c r="AH26" s="3325"/>
      <c r="AI26" s="3324">
        <f>AI23*AI25</f>
        <v>0</v>
      </c>
      <c r="AJ26" s="3325"/>
      <c r="AK26" s="3325"/>
      <c r="AL26" s="3325"/>
      <c r="AM26" s="3325"/>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290" t="s">
        <v>446</v>
      </c>
      <c r="C27" s="3291"/>
      <c r="D27" s="3291"/>
      <c r="E27" s="3291"/>
      <c r="F27" s="3291"/>
      <c r="G27" s="3291"/>
      <c r="H27" s="3291"/>
      <c r="I27" s="3291"/>
      <c r="J27" s="3291"/>
      <c r="K27" s="3291"/>
      <c r="L27" s="3291"/>
      <c r="M27" s="3291"/>
      <c r="N27" s="3291"/>
      <c r="O27" s="3291"/>
      <c r="P27" s="3291"/>
      <c r="Q27" s="3291"/>
      <c r="R27" s="3291"/>
      <c r="S27" s="3292"/>
      <c r="T27" s="3301">
        <f>Application!$AG$444</f>
        <v>1</v>
      </c>
      <c r="U27" s="3302"/>
      <c r="V27" s="3302"/>
      <c r="W27" s="3302"/>
      <c r="X27" s="3302"/>
      <c r="Y27" s="3301">
        <f>Application!$AG$444</f>
        <v>1</v>
      </c>
      <c r="Z27" s="3302"/>
      <c r="AA27" s="3302"/>
      <c r="AB27" s="3302"/>
      <c r="AC27" s="3302"/>
      <c r="AD27" s="3301">
        <f>Application!$AG$444</f>
        <v>1</v>
      </c>
      <c r="AE27" s="3302"/>
      <c r="AF27" s="3302"/>
      <c r="AG27" s="3302"/>
      <c r="AH27" s="3302"/>
      <c r="AI27" s="3301">
        <f>Application!$AG$444</f>
        <v>1</v>
      </c>
      <c r="AJ27" s="3302"/>
      <c r="AK27" s="3302"/>
      <c r="AL27" s="3302"/>
      <c r="AM27" s="3302"/>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80" t="s">
        <v>538</v>
      </c>
      <c r="C28" s="3281"/>
      <c r="D28" s="3281"/>
      <c r="E28" s="3281"/>
      <c r="F28" s="3281"/>
      <c r="G28" s="3281"/>
      <c r="H28" s="3281"/>
      <c r="I28" s="3281"/>
      <c r="J28" s="3281"/>
      <c r="K28" s="3281"/>
      <c r="L28" s="3281"/>
      <c r="M28" s="3281"/>
      <c r="N28" s="3281"/>
      <c r="O28" s="3281"/>
      <c r="P28" s="3281"/>
      <c r="Q28" s="3281"/>
      <c r="R28" s="3281"/>
      <c r="S28" s="3282"/>
      <c r="T28" s="3293">
        <f>IF(ISERROR((T26*T27)),0,(T26*T27))</f>
        <v>42842805.200000003</v>
      </c>
      <c r="U28" s="3294"/>
      <c r="V28" s="3294"/>
      <c r="W28" s="3294"/>
      <c r="X28" s="3294"/>
      <c r="Y28" s="3293">
        <f>IF(ISERROR((Y26*Y27)),0,(Y26*Y27))</f>
        <v>0</v>
      </c>
      <c r="Z28" s="3294"/>
      <c r="AA28" s="3294"/>
      <c r="AB28" s="3294"/>
      <c r="AC28" s="3294"/>
      <c r="AD28" s="3293">
        <f>IF(ISERROR((AD26*AD27)),0,(AD26*AD27))</f>
        <v>0</v>
      </c>
      <c r="AE28" s="3294"/>
      <c r="AF28" s="3294"/>
      <c r="AG28" s="3294"/>
      <c r="AH28" s="3294"/>
      <c r="AI28" s="3293">
        <f>IF(ISERROR((AI26*AI27)),0,(AI26*AI27))</f>
        <v>0</v>
      </c>
      <c r="AJ28" s="3294"/>
      <c r="AK28" s="3294"/>
      <c r="AL28" s="3294"/>
      <c r="AM28" s="3294"/>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280" t="s">
        <v>555</v>
      </c>
      <c r="C29" s="3281"/>
      <c r="D29" s="3281"/>
      <c r="E29" s="3281"/>
      <c r="F29" s="3281"/>
      <c r="G29" s="3281"/>
      <c r="H29" s="3281"/>
      <c r="I29" s="3281"/>
      <c r="J29" s="3281"/>
      <c r="K29" s="3281"/>
      <c r="L29" s="3281"/>
      <c r="M29" s="3281"/>
      <c r="N29" s="3281"/>
      <c r="O29" s="3281"/>
      <c r="P29" s="3281"/>
      <c r="Q29" s="3281"/>
      <c r="R29" s="3281"/>
      <c r="S29" s="3282"/>
      <c r="T29" s="3275">
        <f>T28+Y28+AD28+AI28</f>
        <v>42842805.200000003</v>
      </c>
      <c r="U29" s="3276"/>
      <c r="V29" s="3276"/>
      <c r="W29" s="3276"/>
      <c r="X29" s="3276"/>
      <c r="Y29" s="3276"/>
      <c r="Z29" s="3276"/>
      <c r="AA29" s="3276"/>
      <c r="AB29" s="3276"/>
      <c r="AC29" s="3276"/>
      <c r="AD29" s="3276"/>
      <c r="AE29" s="3276"/>
      <c r="AF29" s="3276"/>
      <c r="AG29" s="3276"/>
      <c r="AH29" s="3276"/>
      <c r="AI29" s="3276"/>
      <c r="AJ29" s="3276"/>
      <c r="AK29" s="3276"/>
      <c r="AL29" s="3276"/>
      <c r="AM29" s="3273"/>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286" t="s">
        <v>1496</v>
      </c>
      <c r="C30" s="3286"/>
      <c r="D30" s="3286"/>
      <c r="E30" s="3286"/>
      <c r="F30" s="3286"/>
      <c r="G30" s="3286"/>
      <c r="H30" s="3286"/>
      <c r="I30" s="3286"/>
      <c r="J30" s="3286"/>
      <c r="K30" s="3286"/>
      <c r="L30" s="3286"/>
      <c r="M30" s="3286"/>
      <c r="N30" s="3286"/>
      <c r="O30" s="3286"/>
      <c r="P30" s="3286"/>
      <c r="Q30" s="3286"/>
      <c r="R30" s="3286"/>
      <c r="S30" s="3286"/>
      <c r="T30" s="3286"/>
      <c r="U30" s="3286"/>
      <c r="V30" s="3286"/>
      <c r="W30" s="3286"/>
      <c r="X30" s="3286"/>
      <c r="Y30" s="3286"/>
      <c r="Z30" s="3286"/>
      <c r="AA30" s="3286"/>
      <c r="AB30" s="3286"/>
      <c r="AC30" s="3286"/>
      <c r="AD30" s="3286"/>
      <c r="AE30" s="3286"/>
      <c r="AF30" s="3286"/>
      <c r="AG30" s="3286"/>
      <c r="AH30" s="3286"/>
      <c r="AI30" s="3286"/>
      <c r="AJ30" s="3286"/>
      <c r="AK30" s="3286"/>
      <c r="AL30" s="3286"/>
      <c r="AM30" s="3286"/>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286" t="s">
        <v>1495</v>
      </c>
      <c r="C31" s="3286"/>
      <c r="D31" s="3286"/>
      <c r="E31" s="3286"/>
      <c r="F31" s="3286"/>
      <c r="G31" s="3286"/>
      <c r="H31" s="3286"/>
      <c r="I31" s="3286"/>
      <c r="J31" s="3286"/>
      <c r="K31" s="3286"/>
      <c r="L31" s="3286"/>
      <c r="M31" s="3286"/>
      <c r="N31" s="3286"/>
      <c r="O31" s="3286"/>
      <c r="P31" s="3286"/>
      <c r="Q31" s="3286"/>
      <c r="R31" s="3286"/>
      <c r="S31" s="3286"/>
      <c r="T31" s="3286"/>
      <c r="U31" s="3286"/>
      <c r="V31" s="3286"/>
      <c r="W31" s="3286"/>
      <c r="X31" s="3286"/>
      <c r="Y31" s="3286"/>
      <c r="Z31" s="3286"/>
      <c r="AA31" s="3286"/>
      <c r="AB31" s="3286"/>
      <c r="AC31" s="3286"/>
      <c r="AD31" s="3286"/>
      <c r="AE31" s="3286"/>
      <c r="AF31" s="3286"/>
      <c r="AG31" s="3286"/>
      <c r="AH31" s="3286"/>
      <c r="AI31" s="3286"/>
      <c r="AJ31" s="3286"/>
      <c r="AK31" s="3286"/>
      <c r="AL31" s="3286"/>
      <c r="AM31" s="3286"/>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404</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610</v>
      </c>
      <c r="B34" s="616"/>
      <c r="C34" s="621" t="s">
        <v>600</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12" t="s">
        <v>1344</v>
      </c>
      <c r="Z35" s="3312"/>
      <c r="AA35" s="3312"/>
      <c r="AB35" s="3312"/>
      <c r="AC35" s="3312"/>
      <c r="AD35" s="3338" t="s">
        <v>379</v>
      </c>
      <c r="AE35" s="3338"/>
      <c r="AF35" s="3338"/>
      <c r="AG35" s="3338"/>
      <c r="AH35" s="3338"/>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12"/>
      <c r="Z36" s="3312"/>
      <c r="AA36" s="3312"/>
      <c r="AB36" s="3312"/>
      <c r="AC36" s="3312"/>
      <c r="AD36" s="3338"/>
      <c r="AE36" s="3338"/>
      <c r="AF36" s="3338"/>
      <c r="AG36" s="3338"/>
      <c r="AH36" s="3338"/>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12"/>
      <c r="Z37" s="3312"/>
      <c r="AA37" s="3312"/>
      <c r="AB37" s="3312"/>
      <c r="AC37" s="3312"/>
      <c r="AD37" s="3338"/>
      <c r="AE37" s="3338"/>
      <c r="AF37" s="3338"/>
      <c r="AG37" s="3338"/>
      <c r="AH37" s="3338"/>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80" t="s">
        <v>538</v>
      </c>
      <c r="C38" s="3281"/>
      <c r="D38" s="3281"/>
      <c r="E38" s="3281"/>
      <c r="F38" s="3281"/>
      <c r="G38" s="3281"/>
      <c r="H38" s="3281"/>
      <c r="I38" s="3281"/>
      <c r="J38" s="3281"/>
      <c r="K38" s="3281"/>
      <c r="L38" s="3281"/>
      <c r="M38" s="3281"/>
      <c r="N38" s="3281"/>
      <c r="O38" s="3281"/>
      <c r="P38" s="3281"/>
      <c r="Q38" s="3281"/>
      <c r="R38" s="3281"/>
      <c r="S38" s="3281"/>
      <c r="T38" s="3281"/>
      <c r="U38" s="3281"/>
      <c r="V38" s="3281"/>
      <c r="W38" s="3281"/>
      <c r="X38" s="3282"/>
      <c r="Y38" s="3274">
        <f>IF(T24&gt;=(T23+Y23+AD23+AI23),T28+Y28,0)</f>
        <v>42842805.200000003</v>
      </c>
      <c r="Z38" s="3274"/>
      <c r="AA38" s="3274"/>
      <c r="AB38" s="3274"/>
      <c r="AC38" s="3274"/>
      <c r="AD38" s="3274">
        <f>IF(T24&gt;=(T23+Y23+AD23+AI23),AD28+AI28,0)</f>
        <v>0</v>
      </c>
      <c r="AE38" s="3274"/>
      <c r="AF38" s="3274"/>
      <c r="AG38" s="3274"/>
      <c r="AH38" s="3274"/>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280" t="s">
        <v>2177</v>
      </c>
      <c r="C39" s="3281"/>
      <c r="D39" s="3281"/>
      <c r="E39" s="3281"/>
      <c r="F39" s="3281"/>
      <c r="G39" s="3281"/>
      <c r="H39" s="3281"/>
      <c r="I39" s="3281"/>
      <c r="J39" s="3281"/>
      <c r="K39" s="3281"/>
      <c r="L39" s="3281"/>
      <c r="M39" s="3281"/>
      <c r="N39" s="3281"/>
      <c r="O39" s="3281"/>
      <c r="P39" s="3281"/>
      <c r="Q39" s="3281"/>
      <c r="R39" s="3281"/>
      <c r="S39" s="3281"/>
      <c r="T39" s="3281"/>
      <c r="U39" s="3281"/>
      <c r="V39" s="3281"/>
      <c r="W39" s="3281"/>
      <c r="X39" s="3282"/>
      <c r="Y39" s="3339">
        <v>0.04</v>
      </c>
      <c r="Z39" s="3339"/>
      <c r="AA39" s="3339"/>
      <c r="AB39" s="3339"/>
      <c r="AC39" s="3339"/>
      <c r="AD39" s="3339">
        <v>0.04</v>
      </c>
      <c r="AE39" s="3339"/>
      <c r="AF39" s="3339"/>
      <c r="AG39" s="3339"/>
      <c r="AH39" s="3339"/>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80" t="s">
        <v>676</v>
      </c>
      <c r="C40" s="3281"/>
      <c r="D40" s="3281"/>
      <c r="E40" s="3281"/>
      <c r="F40" s="3281"/>
      <c r="G40" s="3281"/>
      <c r="H40" s="3281"/>
      <c r="I40" s="3281"/>
      <c r="J40" s="3281"/>
      <c r="K40" s="3281"/>
      <c r="L40" s="3281"/>
      <c r="M40" s="3281"/>
      <c r="N40" s="3281"/>
      <c r="O40" s="3281"/>
      <c r="P40" s="3281"/>
      <c r="Q40" s="3281"/>
      <c r="R40" s="3281"/>
      <c r="S40" s="3281"/>
      <c r="T40" s="3281"/>
      <c r="U40" s="3281"/>
      <c r="V40" s="3281"/>
      <c r="W40" s="3281"/>
      <c r="X40" s="3282"/>
      <c r="Y40" s="3274">
        <f>ROUND(Y38*Y39,0)</f>
        <v>1713712</v>
      </c>
      <c r="Z40" s="3274"/>
      <c r="AA40" s="3274"/>
      <c r="AB40" s="3274"/>
      <c r="AC40" s="3274"/>
      <c r="AD40" s="3273">
        <f>ROUND(AD38*AD39,0)</f>
        <v>0</v>
      </c>
      <c r="AE40" s="3274"/>
      <c r="AF40" s="3274"/>
      <c r="AG40" s="3274"/>
      <c r="AH40" s="3274"/>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280" t="s">
        <v>677</v>
      </c>
      <c r="C41" s="3281"/>
      <c r="D41" s="3281"/>
      <c r="E41" s="3281"/>
      <c r="F41" s="3281"/>
      <c r="G41" s="3281"/>
      <c r="H41" s="3281"/>
      <c r="I41" s="3281"/>
      <c r="J41" s="3281"/>
      <c r="K41" s="3281"/>
      <c r="L41" s="3281"/>
      <c r="M41" s="3281"/>
      <c r="N41" s="3281"/>
      <c r="O41" s="3281"/>
      <c r="P41" s="3281"/>
      <c r="Q41" s="3281"/>
      <c r="R41" s="3281"/>
      <c r="S41" s="3281"/>
      <c r="T41" s="3281"/>
      <c r="U41" s="3281"/>
      <c r="V41" s="3281"/>
      <c r="W41" s="3281"/>
      <c r="X41" s="3282"/>
      <c r="Y41" s="3295">
        <f>Y40+AD40</f>
        <v>1713712</v>
      </c>
      <c r="Z41" s="3296"/>
      <c r="AA41" s="3296"/>
      <c r="AB41" s="3296"/>
      <c r="AC41" s="3296"/>
      <c r="AD41" s="3296"/>
      <c r="AE41" s="3296"/>
      <c r="AF41" s="3296"/>
      <c r="AG41" s="3296"/>
      <c r="AH41" s="3297"/>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4" customFormat="1" ht="13.5" thickBot="1">
      <c r="A44" s="3278" t="s">
        <v>1509</v>
      </c>
      <c r="B44" s="3278"/>
      <c r="C44" s="3278"/>
      <c r="D44" s="3278"/>
      <c r="E44" s="3278"/>
      <c r="F44" s="3278"/>
      <c r="G44" s="3278"/>
      <c r="H44" s="3278"/>
      <c r="I44" s="3278"/>
      <c r="J44" s="3278"/>
      <c r="K44" s="3278"/>
      <c r="L44" s="3278"/>
      <c r="M44" s="3278"/>
      <c r="N44" s="3278"/>
      <c r="O44" s="3278"/>
      <c r="P44" s="3278"/>
      <c r="Q44" s="3278"/>
      <c r="R44" s="3278"/>
      <c r="S44" s="3278"/>
      <c r="T44" s="3278"/>
      <c r="U44" s="3278"/>
      <c r="V44" s="3278"/>
      <c r="W44" s="3278"/>
      <c r="X44" s="3278"/>
      <c r="Y44" s="3278"/>
      <c r="Z44" s="3278"/>
      <c r="AA44" s="3278"/>
      <c r="AB44" s="3278"/>
      <c r="AC44" s="3278"/>
      <c r="AD44" s="3278"/>
      <c r="AE44" s="3278"/>
      <c r="AF44" s="3278"/>
      <c r="AG44" s="3278"/>
      <c r="AH44" s="3278"/>
      <c r="AI44" s="3278"/>
      <c r="AJ44" s="3278"/>
      <c r="AK44" s="3278"/>
      <c r="AL44" s="3278"/>
      <c r="AM44" s="3278"/>
      <c r="AN44" s="3278"/>
      <c r="AO44" s="3278"/>
      <c r="AP44" s="3278"/>
      <c r="AQ44" s="3278"/>
      <c r="AR44" s="3278"/>
      <c r="AS44" s="3278"/>
      <c r="AT44" s="3278"/>
      <c r="AU44" s="3278"/>
      <c r="AV44" s="3278"/>
      <c r="AW44" s="3278"/>
      <c r="AX44" s="3278"/>
      <c r="AY44" s="3278"/>
      <c r="AZ44" s="3278"/>
      <c r="BA44" s="3278"/>
      <c r="BB44" s="3278"/>
      <c r="BC44" s="3278"/>
      <c r="BD44" s="3278"/>
      <c r="BE44" s="3278"/>
      <c r="BF44" s="3278"/>
      <c r="BG44" s="3278"/>
      <c r="BH44" s="3278"/>
      <c r="BI44" s="3278"/>
      <c r="BJ44" s="3278"/>
      <c r="BK44" s="3278"/>
      <c r="BL44" s="3278"/>
      <c r="BM44" s="3278"/>
      <c r="BN44" s="3278"/>
      <c r="BO44" s="3278"/>
      <c r="BP44" s="3278"/>
      <c r="BQ44" s="3278"/>
      <c r="BR44" s="3278"/>
      <c r="BS44" s="3278"/>
      <c r="BT44" s="3278"/>
      <c r="BU44" s="3278"/>
      <c r="BV44" s="3278"/>
      <c r="BW44" s="3278"/>
      <c r="BX44" s="3278"/>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7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2.75">
      <c r="A46" s="621" t="s">
        <v>620</v>
      </c>
      <c r="B46" s="616"/>
      <c r="C46" s="621" t="s">
        <v>287</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288</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298">
        <f>'Sources and Uses Budget'!B105-'Sources and Uses Budget'!B15</f>
        <v>38889247</v>
      </c>
      <c r="AC47" s="3299"/>
      <c r="AD47" s="3299"/>
      <c r="AE47" s="3299"/>
      <c r="AF47" s="3300"/>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298">
        <f>Application!AO649-MIN('Sources and Uses Budget'!B15,Application!AG394)</f>
        <v>23468261</v>
      </c>
      <c r="AC48" s="3299"/>
      <c r="AD48" s="3299"/>
      <c r="AE48" s="3299"/>
      <c r="AF48" s="3300"/>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298">
        <f>AB47-AB48</f>
        <v>15420986</v>
      </c>
      <c r="AC49" s="3299"/>
      <c r="AD49" s="3299"/>
      <c r="AE49" s="3299"/>
      <c r="AF49" s="3300"/>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717</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31">
        <v>0.89985890000000002</v>
      </c>
      <c r="AC50" s="3332"/>
      <c r="AD50" s="3332"/>
      <c r="AE50" s="3332"/>
      <c r="AF50" s="3333"/>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34" t="s">
        <v>2373</v>
      </c>
      <c r="F51" s="3334"/>
      <c r="G51" s="3334"/>
      <c r="H51" s="3334"/>
      <c r="I51" s="3334"/>
      <c r="J51" s="3334"/>
      <c r="K51" s="3334"/>
      <c r="L51" s="3334"/>
      <c r="M51" s="3334"/>
      <c r="N51" s="3334"/>
      <c r="O51" s="3334"/>
      <c r="P51" s="3334"/>
      <c r="Q51" s="3334"/>
      <c r="R51" s="3334"/>
      <c r="S51" s="3334"/>
      <c r="T51" s="3334"/>
      <c r="U51" s="3334"/>
      <c r="V51" s="3334"/>
      <c r="W51" s="3334"/>
      <c r="X51" s="3334"/>
      <c r="Y51" s="3334"/>
      <c r="Z51" s="3334"/>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34"/>
      <c r="F52" s="3334"/>
      <c r="G52" s="3334"/>
      <c r="H52" s="3334"/>
      <c r="I52" s="3334"/>
      <c r="J52" s="3334"/>
      <c r="K52" s="3334"/>
      <c r="L52" s="3334"/>
      <c r="M52" s="3334"/>
      <c r="N52" s="3334"/>
      <c r="O52" s="3334"/>
      <c r="P52" s="3334"/>
      <c r="Q52" s="3334"/>
      <c r="R52" s="3334"/>
      <c r="S52" s="3334"/>
      <c r="T52" s="3334"/>
      <c r="U52" s="3334"/>
      <c r="V52" s="3334"/>
      <c r="W52" s="3334"/>
      <c r="X52" s="3334"/>
      <c r="Y52" s="3334"/>
      <c r="Z52" s="3334"/>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340</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298">
        <f>ROUND(IF(ISERROR((AB49/AB50)),0,(AB49/AB50)),0)</f>
        <v>17137116</v>
      </c>
      <c r="AC54" s="3299"/>
      <c r="AD54" s="3299"/>
      <c r="AE54" s="3299"/>
      <c r="AF54" s="3300"/>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341</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298">
        <f>(AB54/10)</f>
        <v>1713711.6</v>
      </c>
      <c r="AC55" s="3299"/>
      <c r="AD55" s="3299"/>
      <c r="AE55" s="3299"/>
      <c r="AF55" s="3300"/>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796</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35">
        <f>(IF((Y41&lt;AB55),Y41,AB55))</f>
        <v>1713711.6</v>
      </c>
      <c r="AC56" s="3336"/>
      <c r="AD56" s="3336"/>
      <c r="AE56" s="3336"/>
      <c r="AF56" s="3337"/>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795</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298">
        <f>ROUND((10*AB56*AB50),0)</f>
        <v>15420986</v>
      </c>
      <c r="AC57" s="3299"/>
      <c r="AD57" s="3299"/>
      <c r="AE57" s="3299"/>
      <c r="AF57" s="3300"/>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794</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26">
        <f>AB49-AB57</f>
        <v>0</v>
      </c>
      <c r="AC59" s="3326"/>
      <c r="AD59" s="3326"/>
      <c r="AE59" s="3326"/>
      <c r="AF59" s="3326"/>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4" customFormat="1" ht="13.5" thickBot="1">
      <c r="A61" s="3278" t="str">
        <f>IF(Application!AP204="yes","Farmworker State Credit", "State Credit" )</f>
        <v>State Credit</v>
      </c>
      <c r="B61" s="3278"/>
      <c r="C61" s="3278"/>
      <c r="D61" s="3278"/>
      <c r="E61" s="3278"/>
      <c r="F61" s="3278"/>
      <c r="G61" s="3278"/>
      <c r="H61" s="3278"/>
      <c r="I61" s="3278"/>
      <c r="J61" s="3278"/>
      <c r="K61" s="3278"/>
      <c r="L61" s="3278"/>
      <c r="M61" s="3278"/>
      <c r="N61" s="3278"/>
      <c r="O61" s="3278"/>
      <c r="P61" s="3278"/>
      <c r="Q61" s="3278"/>
      <c r="R61" s="3278"/>
      <c r="S61" s="3278"/>
      <c r="T61" s="3278"/>
      <c r="U61" s="3278"/>
      <c r="V61" s="3278"/>
      <c r="W61" s="3278"/>
      <c r="X61" s="3278"/>
      <c r="Y61" s="3278"/>
      <c r="Z61" s="3278"/>
      <c r="AA61" s="3278"/>
      <c r="AB61" s="3278"/>
      <c r="AC61" s="3278"/>
      <c r="AD61" s="3278"/>
      <c r="AE61" s="3278"/>
      <c r="AF61" s="3278"/>
      <c r="AG61" s="3278"/>
      <c r="AH61" s="3278"/>
      <c r="AI61" s="3278"/>
      <c r="AJ61" s="3278"/>
      <c r="AK61" s="3278"/>
      <c r="AL61" s="3278"/>
      <c r="AM61" s="3278"/>
      <c r="AN61" s="3278"/>
      <c r="AO61" s="3278"/>
      <c r="AP61" s="3278"/>
      <c r="AQ61" s="3278"/>
      <c r="AR61" s="3278"/>
      <c r="AS61" s="3278"/>
      <c r="AT61" s="3278"/>
      <c r="AU61" s="3278"/>
      <c r="AV61" s="3278"/>
      <c r="AW61" s="3278"/>
      <c r="AX61" s="3278"/>
      <c r="AY61" s="3278"/>
      <c r="AZ61" s="3278"/>
      <c r="BA61" s="3278"/>
      <c r="BB61" s="3278"/>
      <c r="BC61" s="3278"/>
      <c r="BD61" s="3278"/>
      <c r="BE61" s="3278"/>
      <c r="BF61" s="3278"/>
      <c r="BG61" s="3278"/>
      <c r="BH61" s="3278"/>
      <c r="BI61" s="3278"/>
      <c r="BJ61" s="3278"/>
      <c r="BK61" s="3278"/>
      <c r="BL61" s="3278"/>
      <c r="BM61" s="3278"/>
      <c r="BN61" s="3278"/>
      <c r="BO61" s="3278"/>
      <c r="BP61" s="3278"/>
      <c r="BQ61" s="3278"/>
      <c r="BR61" s="3278"/>
      <c r="BS61" s="3278"/>
      <c r="BT61" s="3278"/>
      <c r="BU61" s="3278"/>
      <c r="BV61" s="3278"/>
      <c r="BW61" s="3278"/>
      <c r="BX61" s="3278"/>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7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2.75">
      <c r="A63" s="621" t="s">
        <v>623</v>
      </c>
      <c r="B63" s="616"/>
      <c r="C63" s="325" t="s">
        <v>1477</v>
      </c>
      <c r="D63" s="616"/>
      <c r="E63" s="616"/>
      <c r="F63" s="616"/>
      <c r="G63" s="616"/>
      <c r="H63" s="616"/>
      <c r="I63" s="616"/>
      <c r="J63" s="616"/>
      <c r="K63" s="616"/>
      <c r="L63" s="616"/>
      <c r="M63" s="616"/>
      <c r="N63" s="616"/>
      <c r="O63" s="616"/>
      <c r="P63" s="616"/>
      <c r="Q63" s="616"/>
      <c r="R63" s="616"/>
      <c r="S63" s="616"/>
      <c r="T63" s="616"/>
      <c r="U63" s="616"/>
      <c r="V63" s="616"/>
      <c r="W63" s="616"/>
      <c r="X63" s="616"/>
      <c r="Y63" s="3327" t="s">
        <v>1066</v>
      </c>
      <c r="Z63" s="3327"/>
      <c r="AA63" s="3327"/>
      <c r="AB63" s="3327"/>
      <c r="AC63" s="3327"/>
      <c r="AD63" s="3327" t="s">
        <v>379</v>
      </c>
      <c r="AE63" s="3327"/>
      <c r="AF63" s="3327"/>
      <c r="AG63" s="3327"/>
      <c r="AH63" s="3327"/>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1478</v>
      </c>
      <c r="E64" s="643"/>
      <c r="F64" s="643"/>
      <c r="G64" s="643"/>
      <c r="H64" s="643"/>
      <c r="I64" s="643"/>
      <c r="J64" s="643"/>
      <c r="K64" s="643"/>
      <c r="L64" s="644"/>
      <c r="M64" s="644"/>
      <c r="N64" s="644"/>
      <c r="O64" s="644"/>
      <c r="P64" s="644"/>
      <c r="Q64" s="644"/>
      <c r="R64" s="644"/>
      <c r="S64" s="644"/>
      <c r="T64" s="644"/>
      <c r="U64" s="644"/>
      <c r="V64" s="644"/>
      <c r="W64" s="644"/>
      <c r="X64" s="644"/>
      <c r="Y64" s="3328">
        <f>IF(Application!Z204="(select)",0,((T23*T27)+Y28))</f>
        <v>32956004</v>
      </c>
      <c r="Z64" s="3329"/>
      <c r="AA64" s="3329"/>
      <c r="AB64" s="3329"/>
      <c r="AC64" s="3330"/>
      <c r="AD64" s="3328">
        <f>IF(AND(Application!AP204="yes",Application!M357="yes"),AD28+AI28,0)</f>
        <v>0</v>
      </c>
      <c r="AE64" s="3329"/>
      <c r="AF64" s="3329"/>
      <c r="AG64" s="3329"/>
      <c r="AH64" s="3330"/>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2369</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2370</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275</v>
      </c>
      <c r="E67" s="645"/>
      <c r="F67" s="645"/>
      <c r="G67" s="645"/>
      <c r="H67" s="645"/>
      <c r="I67" s="645"/>
      <c r="J67" s="645"/>
      <c r="K67" s="645"/>
      <c r="L67" s="645"/>
      <c r="M67" s="645"/>
      <c r="N67" s="645"/>
      <c r="O67" s="645"/>
      <c r="P67" s="645"/>
      <c r="Q67" s="645"/>
      <c r="R67" s="645"/>
      <c r="S67" s="645"/>
      <c r="T67" s="645"/>
      <c r="U67" s="645"/>
      <c r="V67" s="645"/>
      <c r="W67" s="645"/>
      <c r="X67" s="645"/>
      <c r="Y67" s="3345">
        <f>IF(Application!AP204="yes",0.75,IF(Application!Z203="15% set-aside",0.13,IF(Application!Z203="15% set-aside with qualifying low value rehab",0.95,0.3)))</f>
        <v>0.3</v>
      </c>
      <c r="Z67" s="3345"/>
      <c r="AA67" s="3345"/>
      <c r="AB67" s="3345"/>
      <c r="AC67" s="3345"/>
      <c r="AD67" s="3345">
        <f>IF(Application!AP204="yes",0.75,IF(Application!Z203="15% set-aside with qualifying low value rehab", 0.95,0.13))</f>
        <v>0.13</v>
      </c>
      <c r="AE67" s="3345"/>
      <c r="AF67" s="3345"/>
      <c r="AG67" s="3345"/>
      <c r="AH67" s="3345"/>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3" t="s">
        <v>1479</v>
      </c>
      <c r="E68" s="616"/>
      <c r="F68" s="616"/>
      <c r="G68" s="616"/>
      <c r="H68" s="616"/>
      <c r="I68" s="616"/>
      <c r="J68" s="616"/>
      <c r="K68" s="616"/>
      <c r="L68" s="616"/>
      <c r="M68" s="616"/>
      <c r="N68" s="616"/>
      <c r="O68" s="616"/>
      <c r="P68" s="616"/>
      <c r="Q68" s="616"/>
      <c r="R68" s="616"/>
      <c r="S68" s="616"/>
      <c r="T68" s="616"/>
      <c r="U68" s="616"/>
      <c r="V68" s="616"/>
      <c r="W68" s="616"/>
      <c r="X68" s="616"/>
      <c r="Y68" s="3346">
        <f>ROUND(Y64*Y67,0)</f>
        <v>9886801</v>
      </c>
      <c r="Z68" s="3347"/>
      <c r="AA68" s="3347"/>
      <c r="AB68" s="3347"/>
      <c r="AC68" s="3347"/>
      <c r="AD68" s="3346" t="str">
        <f>IF(Application!D210="At-Risk",AD64*AD67,"$0")</f>
        <v>$0</v>
      </c>
      <c r="AE68" s="3347"/>
      <c r="AF68" s="3347"/>
      <c r="AG68" s="3347"/>
      <c r="AH68" s="3347"/>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624</v>
      </c>
      <c r="B70" s="616"/>
      <c r="C70" s="333" t="s">
        <v>289</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29" t="s">
        <v>1480</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31"/>
      <c r="AC71" s="3332"/>
      <c r="AD71" s="3332"/>
      <c r="AE71" s="3332"/>
      <c r="AF71" s="3333"/>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48" t="s">
        <v>1481</v>
      </c>
      <c r="F72" s="3348"/>
      <c r="G72" s="3348"/>
      <c r="H72" s="3348"/>
      <c r="I72" s="3348"/>
      <c r="J72" s="3348"/>
      <c r="K72" s="3348"/>
      <c r="L72" s="3348"/>
      <c r="M72" s="3348"/>
      <c r="N72" s="3348"/>
      <c r="O72" s="3348"/>
      <c r="P72" s="3348"/>
      <c r="Q72" s="3348"/>
      <c r="R72" s="3348"/>
      <c r="S72" s="3348"/>
      <c r="T72" s="3348"/>
      <c r="U72" s="3348"/>
      <c r="V72" s="3348"/>
      <c r="W72" s="3348"/>
      <c r="X72" s="3348"/>
      <c r="Y72" s="3348"/>
      <c r="Z72" s="3348"/>
      <c r="AA72" s="3348"/>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48"/>
      <c r="F73" s="3348"/>
      <c r="G73" s="3348"/>
      <c r="H73" s="3348"/>
      <c r="I73" s="3348"/>
      <c r="J73" s="3348"/>
      <c r="K73" s="3348"/>
      <c r="L73" s="3348"/>
      <c r="M73" s="3348"/>
      <c r="N73" s="3348"/>
      <c r="O73" s="3348"/>
      <c r="P73" s="3348"/>
      <c r="Q73" s="3348"/>
      <c r="R73" s="3348"/>
      <c r="S73" s="3348"/>
      <c r="T73" s="3348"/>
      <c r="U73" s="3348"/>
      <c r="V73" s="3348"/>
      <c r="W73" s="3348"/>
      <c r="X73" s="3348"/>
      <c r="Y73" s="3348"/>
      <c r="Z73" s="3348"/>
      <c r="AA73" s="3348"/>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48"/>
      <c r="F74" s="3348"/>
      <c r="G74" s="3348"/>
      <c r="H74" s="3348"/>
      <c r="I74" s="3348"/>
      <c r="J74" s="3348"/>
      <c r="K74" s="3348"/>
      <c r="L74" s="3348"/>
      <c r="M74" s="3348"/>
      <c r="N74" s="3348"/>
      <c r="O74" s="3348"/>
      <c r="P74" s="3348"/>
      <c r="Q74" s="3348"/>
      <c r="R74" s="3348"/>
      <c r="S74" s="3348"/>
      <c r="T74" s="3348"/>
      <c r="U74" s="3348"/>
      <c r="V74" s="3348"/>
      <c r="W74" s="3348"/>
      <c r="X74" s="3348"/>
      <c r="Y74" s="3348"/>
      <c r="Z74" s="3348"/>
      <c r="AA74" s="3348"/>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5" t="s">
        <v>1482</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40">
        <f>ROUND(IF(ISERROR((AB59/AB71)),0,(AB59/AB71)),0)</f>
        <v>0</v>
      </c>
      <c r="AC76" s="3340"/>
      <c r="AD76" s="3340"/>
      <c r="AE76" s="3340"/>
      <c r="AF76" s="3340"/>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5" t="s">
        <v>1483</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41">
        <f>IF((Y68+AD68&lt;AB76),Y68+AD68,AB76)</f>
        <v>0</v>
      </c>
      <c r="AC77" s="3342"/>
      <c r="AD77" s="3342"/>
      <c r="AE77" s="3342"/>
      <c r="AF77" s="3343"/>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5" t="s">
        <v>1484</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44">
        <f>AB77*AB71</f>
        <v>0</v>
      </c>
      <c r="AC78" s="3344"/>
      <c r="AD78" s="3344"/>
      <c r="AE78" s="3344"/>
      <c r="AF78" s="3344"/>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794</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26">
        <f>AB49-(AB57+AB78)</f>
        <v>0</v>
      </c>
      <c r="AC80" s="3326"/>
      <c r="AD80" s="3326"/>
      <c r="AE80" s="3326"/>
      <c r="AF80" s="3326"/>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78"/>
      <c r="B83" s="3278"/>
      <c r="C83" s="3278"/>
      <c r="D83" s="3278"/>
      <c r="E83" s="3278"/>
      <c r="F83" s="3278"/>
      <c r="G83" s="3278"/>
      <c r="H83" s="3278"/>
      <c r="I83" s="3278"/>
      <c r="J83" s="3278"/>
      <c r="K83" s="3278"/>
      <c r="L83" s="3278"/>
      <c r="M83" s="3278"/>
      <c r="N83" s="3278"/>
      <c r="O83" s="3278"/>
      <c r="P83" s="3278"/>
      <c r="Q83" s="3278"/>
      <c r="R83" s="3278"/>
      <c r="S83" s="3278"/>
      <c r="T83" s="3278"/>
      <c r="U83" s="3278"/>
      <c r="V83" s="3278"/>
      <c r="W83" s="3278"/>
      <c r="X83" s="3278"/>
      <c r="Y83" s="3278"/>
      <c r="Z83" s="3278"/>
      <c r="AA83" s="3278"/>
      <c r="AB83" s="3278"/>
      <c r="AC83" s="3278"/>
      <c r="AD83" s="3278"/>
      <c r="AE83" s="3278"/>
      <c r="AF83" s="3278"/>
      <c r="AG83" s="3278"/>
      <c r="AH83" s="3278"/>
      <c r="AI83" s="3278"/>
      <c r="AJ83" s="3278"/>
      <c r="AK83" s="3278"/>
      <c r="AL83" s="3278"/>
      <c r="AM83" s="3278"/>
      <c r="AN83" s="3278"/>
      <c r="AO83" s="3278"/>
      <c r="AP83" s="3278"/>
      <c r="AQ83" s="3278"/>
      <c r="AR83" s="3278"/>
      <c r="AS83" s="3278"/>
      <c r="AT83" s="3278"/>
      <c r="AU83" s="3278"/>
      <c r="AV83" s="3278"/>
      <c r="AW83" s="3278"/>
      <c r="AX83" s="3278"/>
      <c r="AY83" s="3278"/>
      <c r="AZ83" s="3278"/>
      <c r="BA83" s="3278"/>
      <c r="BB83" s="3278"/>
      <c r="BC83" s="3278"/>
      <c r="BD83" s="3278"/>
      <c r="BE83" s="3278"/>
      <c r="BF83" s="3278"/>
      <c r="BG83" s="3278"/>
      <c r="BH83" s="3278"/>
      <c r="BI83" s="3278"/>
      <c r="BJ83" s="3278"/>
      <c r="BK83" s="3278"/>
      <c r="BL83" s="3278"/>
      <c r="BM83" s="3278"/>
      <c r="BN83" s="3278"/>
      <c r="BO83" s="3278"/>
      <c r="BP83" s="3278"/>
      <c r="BQ83" s="3278"/>
      <c r="BR83" s="3278"/>
      <c r="BS83" s="3278"/>
      <c r="BT83" s="3278"/>
      <c r="BU83" s="3278"/>
      <c r="BV83" s="3278"/>
      <c r="BW83" s="3278"/>
      <c r="BX83" s="3278"/>
    </row>
    <row r="84" spans="1:98" ht="13.5" thickTop="1"/>
    <row r="85" spans="1:98" ht="12.75">
      <c r="A85" s="793"/>
      <c r="C85" s="333"/>
      <c r="Z85" s="618"/>
      <c r="AA85" s="618"/>
      <c r="AB85" s="618"/>
      <c r="AC85" s="618"/>
      <c r="AD85" s="618"/>
      <c r="AE85" s="618"/>
      <c r="AF85" s="618"/>
      <c r="AG85" s="618"/>
      <c r="AH85" s="618"/>
    </row>
    <row r="86" spans="1:98" ht="12.75">
      <c r="D86" s="333"/>
      <c r="Z86" s="618"/>
      <c r="AA86" s="618"/>
      <c r="AB86" s="3279"/>
      <c r="AC86" s="3279"/>
      <c r="AD86" s="3279"/>
      <c r="AE86" s="3279"/>
      <c r="AF86" s="3279"/>
      <c r="AG86" s="618"/>
      <c r="AH86" s="618"/>
    </row>
    <row r="87" spans="1:98" ht="13.5" thickBot="1">
      <c r="D87" s="333"/>
      <c r="Z87" s="618"/>
      <c r="AA87" s="618"/>
      <c r="AB87" s="3277"/>
      <c r="AC87" s="3277"/>
      <c r="AD87" s="3277"/>
      <c r="AE87" s="3277"/>
      <c r="AF87" s="3277"/>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I35" sqref="I35"/>
    </sheetView>
  </sheetViews>
  <sheetFormatPr defaultColWidth="9" defaultRowHeight="14.25" zeroHeight="1"/>
  <cols>
    <col min="1" max="2" width="2.42578125" style="1423" customWidth="1"/>
    <col min="3" max="3" width="3.85546875" style="1423" customWidth="1"/>
    <col min="4" max="4" width="15.42578125" style="1423" customWidth="1"/>
    <col min="5" max="5" width="32.42578125" style="1423" customWidth="1"/>
    <col min="6" max="8" width="15.42578125" style="1423" customWidth="1"/>
    <col min="9" max="9" width="40.42578125" style="1423" customWidth="1"/>
    <col min="10" max="10" width="30.42578125" style="1423" customWidth="1"/>
    <col min="11" max="13" width="2.42578125" style="1423" customWidth="1"/>
    <col min="14" max="14" width="29.7109375" style="1423" customWidth="1"/>
    <col min="15" max="24" width="2.42578125" style="1423" customWidth="1"/>
    <col min="25" max="33" width="9" style="1423" customWidth="1"/>
    <col min="34" max="16384" width="9" style="1423"/>
  </cols>
  <sheetData>
    <row r="1" spans="1:33" ht="15">
      <c r="A1" s="3351" t="s">
        <v>1933</v>
      </c>
      <c r="B1" s="3351"/>
      <c r="C1" s="3351"/>
      <c r="D1" s="3351"/>
      <c r="E1" s="3351"/>
      <c r="F1" s="3351"/>
      <c r="G1" s="3351"/>
      <c r="H1" s="3351"/>
      <c r="I1" s="3351"/>
      <c r="J1" s="3351"/>
      <c r="K1" s="3351"/>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51"/>
      <c r="B2" s="3351"/>
      <c r="C2" s="3351"/>
      <c r="D2" s="3351"/>
      <c r="E2" s="3351"/>
      <c r="F2" s="3351"/>
      <c r="G2" s="3351"/>
      <c r="H2" s="3351"/>
      <c r="I2" s="3351"/>
      <c r="J2" s="3351"/>
      <c r="K2" s="3351"/>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52" t="s">
        <v>1934</v>
      </c>
      <c r="D4" s="3352"/>
      <c r="E4" s="3352"/>
      <c r="F4" s="3352"/>
      <c r="G4" s="3352"/>
      <c r="H4" s="3352"/>
      <c r="I4" s="3352"/>
      <c r="J4" s="3352"/>
    </row>
    <row r="5" spans="1:33">
      <c r="C5" s="3352"/>
      <c r="D5" s="3352"/>
      <c r="E5" s="3352"/>
      <c r="F5" s="3352"/>
      <c r="G5" s="3352"/>
      <c r="H5" s="3352"/>
      <c r="I5" s="3352"/>
      <c r="J5" s="3352"/>
    </row>
    <row r="6" spans="1:33">
      <c r="C6" s="1425"/>
      <c r="D6" s="1425"/>
      <c r="E6" s="1425"/>
      <c r="F6" s="1425"/>
      <c r="G6" s="1425"/>
      <c r="H6" s="1425"/>
      <c r="I6" s="1425"/>
      <c r="J6" s="1425"/>
    </row>
    <row r="7" spans="1:33">
      <c r="C7" s="1426" t="s">
        <v>1935</v>
      </c>
      <c r="D7" s="1425"/>
      <c r="E7" s="3353" t="str">
        <f>Application!H16</f>
        <v>Wakeland Entrada LP</v>
      </c>
      <c r="F7" s="3353"/>
      <c r="G7" s="3353"/>
      <c r="H7" s="1425"/>
      <c r="I7" s="1426" t="s">
        <v>1936</v>
      </c>
      <c r="J7" s="1427">
        <f>Application!AG437+Application!AG439</f>
        <v>64</v>
      </c>
    </row>
    <row r="8" spans="1:33">
      <c r="C8" s="1426" t="s">
        <v>1937</v>
      </c>
      <c r="D8" s="1425"/>
      <c r="E8" s="3353" t="str">
        <f>Application!H18</f>
        <v>Entrada Apartments</v>
      </c>
      <c r="F8" s="3353"/>
      <c r="G8" s="3353"/>
      <c r="H8" s="1425"/>
      <c r="I8" s="1426" t="s">
        <v>1938</v>
      </c>
      <c r="J8" s="1428">
        <f>Application!CS663</f>
        <v>143</v>
      </c>
    </row>
    <row r="9" spans="1:33" ht="14.25" customHeight="1">
      <c r="C9" s="1426" t="s">
        <v>1939</v>
      </c>
      <c r="D9" s="1425"/>
      <c r="E9" s="3354" t="str">
        <f>Application!D210</f>
        <v>Large Family</v>
      </c>
      <c r="F9" s="3354"/>
      <c r="G9" s="3354"/>
      <c r="H9" s="1425"/>
      <c r="I9" s="1426" t="s">
        <v>1940</v>
      </c>
      <c r="J9" s="1429">
        <v>0</v>
      </c>
      <c r="N9" s="1430"/>
    </row>
    <row r="10" spans="1:33" ht="26.85" customHeight="1">
      <c r="C10" s="3352" t="s">
        <v>1941</v>
      </c>
      <c r="D10" s="3352"/>
      <c r="E10" s="3355" t="str">
        <f>Application!D213</f>
        <v>N/A</v>
      </c>
      <c r="F10" s="3355"/>
      <c r="G10" s="3355"/>
      <c r="H10" s="1425"/>
      <c r="I10" s="1431" t="s">
        <v>1942</v>
      </c>
      <c r="J10" s="1432">
        <f>IF(J9&gt;0,J8-J9,J8)</f>
        <v>143</v>
      </c>
      <c r="N10" s="1430"/>
    </row>
    <row r="11" spans="1:33">
      <c r="C11" s="1433"/>
      <c r="N11" s="1430"/>
    </row>
    <row r="12" spans="1:33" ht="15" customHeight="1">
      <c r="C12" s="3356" t="s">
        <v>1943</v>
      </c>
      <c r="D12" s="3357"/>
      <c r="E12" s="3358"/>
      <c r="F12" s="3349" t="s">
        <v>1944</v>
      </c>
      <c r="G12" s="3349" t="s">
        <v>1945</v>
      </c>
      <c r="H12" s="3362" t="s">
        <v>2159</v>
      </c>
      <c r="I12" s="3349" t="s">
        <v>2158</v>
      </c>
      <c r="J12" s="3349" t="s">
        <v>1946</v>
      </c>
      <c r="N12" s="1430"/>
    </row>
    <row r="13" spans="1:33" ht="68.25" customHeight="1">
      <c r="C13" s="3359"/>
      <c r="D13" s="3360"/>
      <c r="E13" s="3361"/>
      <c r="F13" s="3350"/>
      <c r="G13" s="3350"/>
      <c r="H13" s="3363"/>
      <c r="I13" s="3350"/>
      <c r="J13" s="3350"/>
    </row>
    <row r="14" spans="1:33" ht="15" customHeight="1">
      <c r="C14" s="1434" t="s">
        <v>1947</v>
      </c>
      <c r="D14" s="1435"/>
      <c r="E14" s="1435"/>
      <c r="F14" s="1436"/>
      <c r="G14" s="1436"/>
      <c r="H14" s="1437"/>
      <c r="I14" s="1437"/>
      <c r="J14" s="1437"/>
    </row>
    <row r="15" spans="1:33">
      <c r="C15" s="1438" t="s">
        <v>1948</v>
      </c>
      <c r="D15" s="1423" t="s">
        <v>1949</v>
      </c>
      <c r="F15" s="1439" t="s">
        <v>2694</v>
      </c>
      <c r="G15" s="1440">
        <f>48000/2</f>
        <v>24000</v>
      </c>
      <c r="H15" s="1441" t="s">
        <v>2219</v>
      </c>
      <c r="I15" s="1441" t="s">
        <v>625</v>
      </c>
      <c r="J15" s="1441" t="s">
        <v>2683</v>
      </c>
    </row>
    <row r="16" spans="1:33">
      <c r="C16" s="1438" t="s">
        <v>1950</v>
      </c>
      <c r="D16" s="1423" t="s">
        <v>1951</v>
      </c>
      <c r="F16" s="1439"/>
      <c r="G16" s="1442"/>
      <c r="H16" s="1441"/>
      <c r="I16" s="1441"/>
      <c r="J16" s="1441"/>
    </row>
    <row r="17" spans="3:10">
      <c r="C17" s="1438" t="s">
        <v>1834</v>
      </c>
      <c r="D17" s="1423" t="s">
        <v>1952</v>
      </c>
      <c r="F17" s="1439"/>
      <c r="G17" s="1442"/>
      <c r="H17" s="1441"/>
      <c r="I17" s="1441"/>
      <c r="J17" s="1441"/>
    </row>
    <row r="18" spans="3:10">
      <c r="C18" s="1438" t="s">
        <v>1953</v>
      </c>
      <c r="D18" s="1424" t="s">
        <v>1954</v>
      </c>
      <c r="E18" s="1424"/>
      <c r="F18" s="1439"/>
      <c r="G18" s="1442"/>
      <c r="H18" s="1441"/>
      <c r="I18" s="1441"/>
      <c r="J18" s="1441"/>
    </row>
    <row r="19" spans="3:10">
      <c r="C19" s="1438" t="s">
        <v>1955</v>
      </c>
      <c r="D19" s="1424" t="s">
        <v>1956</v>
      </c>
      <c r="E19" s="1424"/>
      <c r="F19" s="1439"/>
      <c r="G19" s="1442"/>
      <c r="H19" s="1441"/>
      <c r="I19" s="1441"/>
      <c r="J19" s="1441"/>
    </row>
    <row r="20" spans="3:10">
      <c r="C20" s="1438" t="s">
        <v>1957</v>
      </c>
      <c r="D20" s="1424" t="s">
        <v>1958</v>
      </c>
      <c r="E20" s="1443"/>
      <c r="F20" s="1444" t="s">
        <v>2692</v>
      </c>
      <c r="G20" s="1442">
        <v>24000</v>
      </c>
      <c r="H20" s="1441" t="s">
        <v>2219</v>
      </c>
      <c r="I20" s="1441" t="s">
        <v>625</v>
      </c>
      <c r="J20" s="1441" t="s">
        <v>2683</v>
      </c>
    </row>
    <row r="21" spans="3:10">
      <c r="C21" s="1445"/>
      <c r="D21" s="1446"/>
      <c r="E21" s="1447"/>
      <c r="F21" s="1444" t="s">
        <v>2693</v>
      </c>
      <c r="G21" s="1442"/>
      <c r="H21" s="1441"/>
      <c r="I21" s="1441"/>
      <c r="J21" s="1441"/>
    </row>
    <row r="22" spans="3:10">
      <c r="C22" s="1448" t="s">
        <v>1959</v>
      </c>
      <c r="D22" s="1449"/>
      <c r="E22" s="1449"/>
      <c r="F22" s="1450"/>
      <c r="G22" s="1451"/>
      <c r="H22" s="1452"/>
      <c r="I22" s="1452"/>
      <c r="J22" s="1452"/>
    </row>
    <row r="23" spans="3:10">
      <c r="C23" s="1438" t="s">
        <v>1960</v>
      </c>
      <c r="D23" s="1424" t="s">
        <v>1961</v>
      </c>
      <c r="E23" s="1424"/>
      <c r="F23" s="1439"/>
      <c r="G23" s="1442"/>
      <c r="H23" s="1441"/>
      <c r="I23" s="1441"/>
      <c r="J23" s="1441"/>
    </row>
    <row r="24" spans="3:10">
      <c r="C24" s="1438" t="s">
        <v>1962</v>
      </c>
      <c r="D24" s="1424" t="s">
        <v>1963</v>
      </c>
      <c r="E24" s="1424"/>
      <c r="F24" s="1439"/>
      <c r="G24" s="1442"/>
      <c r="H24" s="1441"/>
      <c r="I24" s="1441"/>
      <c r="J24" s="1441"/>
    </row>
    <row r="25" spans="3:10">
      <c r="C25" s="1438" t="s">
        <v>1964</v>
      </c>
      <c r="D25" s="1423" t="s">
        <v>1952</v>
      </c>
      <c r="E25" s="1424"/>
      <c r="F25" s="1439"/>
      <c r="G25" s="1442"/>
      <c r="H25" s="1441"/>
      <c r="I25" s="1441"/>
      <c r="J25" s="1441"/>
    </row>
    <row r="26" spans="3:10">
      <c r="C26" s="1438" t="s">
        <v>1965</v>
      </c>
      <c r="D26" s="1424" t="s">
        <v>1966</v>
      </c>
      <c r="E26" s="1424"/>
      <c r="F26" s="1439"/>
      <c r="G26" s="1442"/>
      <c r="H26" s="1441"/>
      <c r="I26" s="1441"/>
      <c r="J26" s="1441"/>
    </row>
    <row r="27" spans="3:10">
      <c r="C27" s="1438" t="s">
        <v>1967</v>
      </c>
      <c r="D27" s="1424" t="s">
        <v>1956</v>
      </c>
      <c r="E27" s="1424"/>
      <c r="F27" s="1439"/>
      <c r="G27" s="1442"/>
      <c r="H27" s="1441"/>
      <c r="I27" s="1441"/>
      <c r="J27" s="1441"/>
    </row>
    <row r="28" spans="3:10">
      <c r="C28" s="1438" t="s">
        <v>1968</v>
      </c>
      <c r="D28" s="1424" t="s">
        <v>1958</v>
      </c>
      <c r="E28" s="1424"/>
      <c r="F28" s="1439"/>
      <c r="G28" s="1442"/>
      <c r="H28" s="1441"/>
      <c r="I28" s="1441"/>
      <c r="J28" s="1441"/>
    </row>
    <row r="29" spans="3:10">
      <c r="C29" s="1453"/>
      <c r="D29" s="1433"/>
      <c r="E29" s="1433"/>
      <c r="F29" s="1439"/>
      <c r="G29" s="1442"/>
      <c r="H29" s="1441"/>
      <c r="I29" s="1441"/>
      <c r="J29" s="1441"/>
    </row>
    <row r="30" spans="3:10" ht="15">
      <c r="C30" s="1454" t="s">
        <v>1969</v>
      </c>
      <c r="D30" s="1449"/>
      <c r="E30" s="1449"/>
      <c r="F30" s="1455"/>
      <c r="G30" s="1456"/>
      <c r="H30" s="1457"/>
      <c r="I30" s="1457"/>
      <c r="J30" s="1457"/>
    </row>
    <row r="31" spans="3:10">
      <c r="C31" s="1438"/>
      <c r="D31" s="1458"/>
      <c r="E31" s="1458"/>
      <c r="F31" s="1439"/>
      <c r="G31" s="1442"/>
      <c r="H31" s="1441"/>
      <c r="I31" s="1441"/>
      <c r="J31" s="1441"/>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ht="15">
      <c r="C35" s="1461" t="s">
        <v>967</v>
      </c>
      <c r="D35" s="1462"/>
      <c r="E35" s="1462"/>
      <c r="F35" s="1463"/>
      <c r="G35" s="1464">
        <f>SUM(G15:G33)</f>
        <v>48000</v>
      </c>
      <c r="H35" s="1465"/>
      <c r="I35" s="1465"/>
      <c r="J35" s="1465"/>
    </row>
    <row r="36" spans="3:10"/>
    <row r="37" spans="3:10" ht="16.5">
      <c r="C37" s="1466" t="s">
        <v>1970</v>
      </c>
    </row>
    <row r="38" spans="3:10" s="1468" customFormat="1" ht="17.25" customHeight="1">
      <c r="C38" s="1467" t="s">
        <v>1971</v>
      </c>
    </row>
    <row r="39" spans="3:10" s="1468" customFormat="1" ht="15">
      <c r="C39" s="1468" t="s">
        <v>1972</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7" zoomScaleNormal="100" zoomScaleSheetLayoutView="100" workbookViewId="0">
      <selection activeCell="B64" sqref="B64"/>
    </sheetView>
  </sheetViews>
  <sheetFormatPr defaultColWidth="0" defaultRowHeight="12.75" zeroHeight="1"/>
  <cols>
    <col min="1" max="1" width="3.7109375" customWidth="1"/>
    <col min="2" max="2" width="27.7109375" customWidth="1"/>
    <col min="3" max="3" width="9.140625" style="346"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39" t="s">
        <v>936</v>
      </c>
      <c r="B1" s="339"/>
    </row>
    <row r="2" spans="1:34"/>
    <row r="3" spans="1:34" ht="15.75">
      <c r="A3" s="340" t="s">
        <v>881</v>
      </c>
      <c r="B3" s="340"/>
      <c r="C3" s="370" t="s">
        <v>882</v>
      </c>
      <c r="D3" s="345"/>
      <c r="E3" s="371" t="s">
        <v>883</v>
      </c>
      <c r="F3" s="323"/>
      <c r="G3" s="371" t="s">
        <v>884</v>
      </c>
      <c r="H3" s="323"/>
      <c r="I3" s="371" t="s">
        <v>885</v>
      </c>
      <c r="J3" s="323"/>
      <c r="K3" s="371" t="s">
        <v>886</v>
      </c>
      <c r="L3" s="323"/>
      <c r="M3" s="371" t="s">
        <v>887</v>
      </c>
      <c r="N3" s="323"/>
      <c r="O3" s="371" t="s">
        <v>888</v>
      </c>
      <c r="P3" s="323"/>
      <c r="Q3" s="371" t="s">
        <v>889</v>
      </c>
      <c r="R3" s="323"/>
      <c r="S3" s="371" t="s">
        <v>890</v>
      </c>
      <c r="T3" s="323"/>
      <c r="U3" s="371" t="s">
        <v>891</v>
      </c>
      <c r="V3" s="323"/>
      <c r="W3" s="371" t="s">
        <v>892</v>
      </c>
      <c r="X3" s="323"/>
      <c r="Y3" s="371" t="s">
        <v>893</v>
      </c>
      <c r="Z3" s="323"/>
      <c r="AA3" s="371" t="s">
        <v>894</v>
      </c>
      <c r="AB3" s="323"/>
      <c r="AC3" s="371" t="s">
        <v>895</v>
      </c>
      <c r="AD3" s="323"/>
      <c r="AE3" s="371" t="s">
        <v>896</v>
      </c>
      <c r="AF3" s="323"/>
      <c r="AG3" s="371" t="s">
        <v>897</v>
      </c>
      <c r="AH3" s="345"/>
    </row>
    <row r="4" spans="1:34" s="353" customFormat="1" ht="14.25">
      <c r="A4" s="353" t="s">
        <v>899</v>
      </c>
      <c r="C4" s="373">
        <v>1.0249999999999999</v>
      </c>
      <c r="E4" s="353">
        <f>Application!Y799</f>
        <v>603096</v>
      </c>
      <c r="G4" s="353">
        <f>E4*$C$4</f>
        <v>618173.39999999991</v>
      </c>
      <c r="I4" s="353">
        <f>G4*$C$4</f>
        <v>633627.73499999987</v>
      </c>
      <c r="K4" s="353">
        <f>I4*$C$4</f>
        <v>649468.42837499978</v>
      </c>
      <c r="M4" s="353">
        <f>K4*$C$4</f>
        <v>665705.13908437476</v>
      </c>
      <c r="O4" s="353">
        <f>M4*$C$4</f>
        <v>682347.76756148413</v>
      </c>
      <c r="Q4" s="353">
        <f>O4*$C$4</f>
        <v>699406.46175052121</v>
      </c>
      <c r="S4" s="353">
        <f>Q4*$C$4</f>
        <v>716891.62329428422</v>
      </c>
      <c r="U4" s="353">
        <f>S4*$C$4</f>
        <v>734813.91387664131</v>
      </c>
      <c r="W4" s="353">
        <f>U4*$C$4</f>
        <v>753184.26172355725</v>
      </c>
      <c r="Y4" s="353">
        <f>W4*$C$4</f>
        <v>772013.86826664617</v>
      </c>
      <c r="AA4" s="353">
        <f>Y4*$C$4</f>
        <v>791314.21497331222</v>
      </c>
      <c r="AC4" s="353">
        <f>AA4*$C$4</f>
        <v>811097.07034764497</v>
      </c>
      <c r="AE4" s="353">
        <f>AC4*$C$4</f>
        <v>831374.49710633606</v>
      </c>
      <c r="AG4" s="353">
        <f>AE4*$C$4</f>
        <v>852158.85953399434</v>
      </c>
    </row>
    <row r="5" spans="1:34" s="338" customFormat="1" ht="14.25">
      <c r="B5" s="338" t="s">
        <v>900</v>
      </c>
      <c r="C5" s="374">
        <f>IF(Application!$D$210="Special Needs",0.1,0.05)</f>
        <v>0.05</v>
      </c>
      <c r="E5" s="355">
        <f>-E4*$C$5</f>
        <v>-30154.800000000003</v>
      </c>
      <c r="F5" s="355"/>
      <c r="G5" s="355">
        <f>-G4*$C$5</f>
        <v>-30908.67</v>
      </c>
      <c r="H5" s="355"/>
      <c r="I5" s="355">
        <f>-I4*$C$5</f>
        <v>-31681.386749999994</v>
      </c>
      <c r="J5" s="355"/>
      <c r="K5" s="355">
        <f>-K4*$C$5</f>
        <v>-32473.421418749989</v>
      </c>
      <c r="L5" s="355"/>
      <c r="M5" s="355">
        <f>-M4*$C$5</f>
        <v>-33285.256954218741</v>
      </c>
      <c r="N5" s="355"/>
      <c r="O5" s="355">
        <f>-O4*$C$5</f>
        <v>-34117.388378074211</v>
      </c>
      <c r="P5" s="355"/>
      <c r="Q5" s="355">
        <f>-Q4*$C$5</f>
        <v>-34970.323087526063</v>
      </c>
      <c r="R5" s="355"/>
      <c r="S5" s="355">
        <f>-S4*$C$5</f>
        <v>-35844.581164714211</v>
      </c>
      <c r="T5" s="355"/>
      <c r="U5" s="355">
        <f>-U4*$C$5</f>
        <v>-36740.695693832065</v>
      </c>
      <c r="V5" s="355"/>
      <c r="W5" s="355">
        <f>-W4*$C$5</f>
        <v>-37659.213086177864</v>
      </c>
      <c r="X5" s="355"/>
      <c r="Y5" s="355">
        <f>-Y4*$C$5</f>
        <v>-38600.693413332308</v>
      </c>
      <c r="Z5" s="355"/>
      <c r="AA5" s="355">
        <f>-AA4*$C$5</f>
        <v>-39565.710748665617</v>
      </c>
      <c r="AB5" s="355"/>
      <c r="AC5" s="355">
        <f>-AC4*$C$5</f>
        <v>-40554.853517382253</v>
      </c>
      <c r="AD5" s="355"/>
      <c r="AE5" s="355">
        <f>-AE4*$C$5</f>
        <v>-41568.724855316803</v>
      </c>
      <c r="AF5" s="355"/>
      <c r="AG5" s="355">
        <f>-AG4*$C$5</f>
        <v>-42607.94297669972</v>
      </c>
    </row>
    <row r="6" spans="1:34" s="338" customFormat="1" ht="14.25">
      <c r="A6" s="338" t="s">
        <v>898</v>
      </c>
      <c r="C6" s="373">
        <v>1.0249999999999999</v>
      </c>
      <c r="E6" s="356">
        <f>Application!Z807</f>
        <v>176928</v>
      </c>
      <c r="F6" s="356"/>
      <c r="G6" s="356">
        <f>E6*$C$6</f>
        <v>181351.19999999998</v>
      </c>
      <c r="H6" s="356"/>
      <c r="I6" s="356">
        <f>G6*$C$6</f>
        <v>185884.97999999995</v>
      </c>
      <c r="J6" s="356"/>
      <c r="K6" s="356">
        <f>I6*$C$6</f>
        <v>190532.10449999993</v>
      </c>
      <c r="L6" s="356"/>
      <c r="M6" s="356">
        <f>K6*$C$6</f>
        <v>195295.4071124999</v>
      </c>
      <c r="N6" s="356"/>
      <c r="O6" s="356">
        <f>M6*$C$6</f>
        <v>200177.79229031238</v>
      </c>
      <c r="P6" s="356"/>
      <c r="Q6" s="356">
        <f>O6*$C$6</f>
        <v>205182.23709757018</v>
      </c>
      <c r="R6" s="356"/>
      <c r="S6" s="356">
        <f>Q6*$C$6</f>
        <v>210311.79302500942</v>
      </c>
      <c r="T6" s="356"/>
      <c r="U6" s="356">
        <f>S6*$C$6</f>
        <v>215569.58785063465</v>
      </c>
      <c r="V6" s="356"/>
      <c r="W6" s="356">
        <f>U6*$C$6</f>
        <v>220958.82754690049</v>
      </c>
      <c r="X6" s="356"/>
      <c r="Y6" s="356">
        <f>W6*$C$6</f>
        <v>226482.79823557299</v>
      </c>
      <c r="Z6" s="356"/>
      <c r="AA6" s="356">
        <f>Y6*$C$6</f>
        <v>232144.8681914623</v>
      </c>
      <c r="AB6" s="356"/>
      <c r="AC6" s="356">
        <f>AA6*$C$6</f>
        <v>237948.48989624885</v>
      </c>
      <c r="AD6" s="356"/>
      <c r="AE6" s="356">
        <f>AC6*$C$6</f>
        <v>243897.20214365504</v>
      </c>
      <c r="AF6" s="356"/>
      <c r="AG6" s="356">
        <f>AE6*$C$6</f>
        <v>249994.63219724639</v>
      </c>
    </row>
    <row r="7" spans="1:34" s="338" customFormat="1" ht="14.25">
      <c r="B7" s="338" t="s">
        <v>900</v>
      </c>
      <c r="C7" s="374">
        <f>IF(Application!$D$210="Special Needs",0.1,0.05)</f>
        <v>0.05</v>
      </c>
      <c r="E7" s="355">
        <f>-E6*$C$7</f>
        <v>-8846.4</v>
      </c>
      <c r="F7" s="355"/>
      <c r="G7" s="355">
        <f>-G6*$C$7</f>
        <v>-9067.56</v>
      </c>
      <c r="H7" s="355"/>
      <c r="I7" s="355">
        <f>-I6*$C$7</f>
        <v>-9294.248999999998</v>
      </c>
      <c r="J7" s="355"/>
      <c r="K7" s="355">
        <f>-K6*$C$7</f>
        <v>-9526.6052249999975</v>
      </c>
      <c r="L7" s="355"/>
      <c r="M7" s="355">
        <f>-M6*$C$7</f>
        <v>-9764.7703556249962</v>
      </c>
      <c r="N7" s="355"/>
      <c r="O7" s="355">
        <f>-O6*$C$7</f>
        <v>-10008.88961451562</v>
      </c>
      <c r="P7" s="355"/>
      <c r="Q7" s="355">
        <f>-Q6*$C$7</f>
        <v>-10259.111854878509</v>
      </c>
      <c r="R7" s="355"/>
      <c r="S7" s="355">
        <f>-S6*$C$7</f>
        <v>-10515.589651250471</v>
      </c>
      <c r="T7" s="355"/>
      <c r="U7" s="355">
        <f>-U6*$C$7</f>
        <v>-10778.479392531734</v>
      </c>
      <c r="V7" s="355"/>
      <c r="W7" s="355">
        <f>-W6*$C$7</f>
        <v>-11047.941377345025</v>
      </c>
      <c r="X7" s="355"/>
      <c r="Y7" s="355">
        <f>-Y6*$C$7</f>
        <v>-11324.13991177865</v>
      </c>
      <c r="Z7" s="355"/>
      <c r="AA7" s="355">
        <f>-AA6*$C$7</f>
        <v>-11607.243409573115</v>
      </c>
      <c r="AB7" s="355"/>
      <c r="AC7" s="355">
        <f>-AC6*$C$7</f>
        <v>-11897.424494812443</v>
      </c>
      <c r="AD7" s="355"/>
      <c r="AE7" s="355">
        <f>-AE6*$C$7</f>
        <v>-12194.860107182752</v>
      </c>
      <c r="AF7" s="355"/>
      <c r="AG7" s="355">
        <f>-AG6*$C$7</f>
        <v>-12499.73160986232</v>
      </c>
    </row>
    <row r="8" spans="1:34" s="338" customFormat="1" ht="14.25">
      <c r="A8" s="338" t="s">
        <v>295</v>
      </c>
      <c r="C8" s="373">
        <v>1.0249999999999999</v>
      </c>
      <c r="E8" s="356">
        <f>Application!Z815</f>
        <v>10920</v>
      </c>
      <c r="F8" s="356"/>
      <c r="G8" s="356">
        <f>E8*$C$8</f>
        <v>11192.999999999998</v>
      </c>
      <c r="H8" s="356"/>
      <c r="I8" s="356">
        <f>G8*$C$8</f>
        <v>11472.824999999997</v>
      </c>
      <c r="J8" s="356"/>
      <c r="K8" s="356">
        <f>I8*$C$8</f>
        <v>11759.645624999996</v>
      </c>
      <c r="L8" s="356"/>
      <c r="M8" s="356">
        <f>K8*$C$8</f>
        <v>12053.636765624995</v>
      </c>
      <c r="N8" s="356"/>
      <c r="O8" s="356">
        <f>M8*$C$8</f>
        <v>12354.977684765619</v>
      </c>
      <c r="P8" s="356"/>
      <c r="Q8" s="356">
        <f>O8*$C$8</f>
        <v>12663.852126884758</v>
      </c>
      <c r="R8" s="356"/>
      <c r="S8" s="356">
        <f>Q8*$C$8</f>
        <v>12980.448430056877</v>
      </c>
      <c r="T8" s="356"/>
      <c r="U8" s="356">
        <f>S8*$C$8</f>
        <v>13304.959640808298</v>
      </c>
      <c r="V8" s="356"/>
      <c r="W8" s="356">
        <f>U8*$C$8</f>
        <v>13637.583631828504</v>
      </c>
      <c r="X8" s="356"/>
      <c r="Y8" s="356">
        <f>W8*$C$8</f>
        <v>13978.523222624215</v>
      </c>
      <c r="Z8" s="356"/>
      <c r="AA8" s="356">
        <f>Y8*$C$8</f>
        <v>14327.986303189818</v>
      </c>
      <c r="AB8" s="356"/>
      <c r="AC8" s="356">
        <f>AA8*$C$8</f>
        <v>14686.185960769562</v>
      </c>
      <c r="AD8" s="356"/>
      <c r="AE8" s="356">
        <f>AC8*$C$8</f>
        <v>15053.3406097888</v>
      </c>
      <c r="AF8" s="356"/>
      <c r="AG8" s="356">
        <f>AE8*$C$8</f>
        <v>15429.674125033518</v>
      </c>
    </row>
    <row r="9" spans="1:34" s="338" customFormat="1" ht="14.25">
      <c r="B9" s="338" t="s">
        <v>900</v>
      </c>
      <c r="C9" s="374">
        <f>IF(Application!$D$210="Special Needs",0.1,0.05)</f>
        <v>0.05</v>
      </c>
      <c r="E9" s="372">
        <f>-E8*$C$9</f>
        <v>-546</v>
      </c>
      <c r="F9" s="355"/>
      <c r="G9" s="372">
        <f>-G8*$C$9</f>
        <v>-559.65</v>
      </c>
      <c r="H9" s="355"/>
      <c r="I9" s="372">
        <f>-I8*$C$9</f>
        <v>-573.6412499999999</v>
      </c>
      <c r="J9" s="355"/>
      <c r="K9" s="372">
        <f>-K8*$C$9</f>
        <v>-587.9822812499998</v>
      </c>
      <c r="L9" s="355"/>
      <c r="M9" s="372">
        <f>-M8*$C$9</f>
        <v>-602.68183828124972</v>
      </c>
      <c r="N9" s="355"/>
      <c r="O9" s="372">
        <f>-O8*$C$9</f>
        <v>-617.74888423828099</v>
      </c>
      <c r="P9" s="355"/>
      <c r="Q9" s="372">
        <f>-Q8*$C$9</f>
        <v>-633.1926063442379</v>
      </c>
      <c r="R9" s="355"/>
      <c r="S9" s="372">
        <f>-S8*$C$9</f>
        <v>-649.02242150284383</v>
      </c>
      <c r="T9" s="355"/>
      <c r="U9" s="372">
        <f>-U8*$C$9</f>
        <v>-665.24798204041497</v>
      </c>
      <c r="V9" s="355"/>
      <c r="W9" s="372">
        <f>-W8*$C$9</f>
        <v>-681.87918159142521</v>
      </c>
      <c r="X9" s="355"/>
      <c r="Y9" s="372">
        <f>-Y8*$C$9</f>
        <v>-698.92616113121085</v>
      </c>
      <c r="Z9" s="355"/>
      <c r="AA9" s="372">
        <f>-AA8*$C$9</f>
        <v>-716.39931515949092</v>
      </c>
      <c r="AB9" s="355"/>
      <c r="AC9" s="372">
        <f>-AC8*$C$9</f>
        <v>-734.30929803847812</v>
      </c>
      <c r="AD9" s="355"/>
      <c r="AE9" s="372">
        <f>-AE8*$C$9</f>
        <v>-752.66703048944009</v>
      </c>
      <c r="AF9" s="355"/>
      <c r="AG9" s="372">
        <f>-AG8*$C$9</f>
        <v>-771.48370625167593</v>
      </c>
    </row>
    <row r="10" spans="1:34" s="357" customFormat="1" ht="15">
      <c r="A10" s="357" t="s">
        <v>921</v>
      </c>
      <c r="C10" s="348"/>
      <c r="E10" s="357">
        <f>SUM(E4:E9)</f>
        <v>751396.79999999993</v>
      </c>
      <c r="G10" s="357">
        <f>SUM(G4:G9)</f>
        <v>770181.71999999974</v>
      </c>
      <c r="I10" s="357">
        <f>SUM(I4:I9)</f>
        <v>789436.26299999992</v>
      </c>
      <c r="K10" s="357">
        <f>SUM(K4:K9)</f>
        <v>809172.16957499983</v>
      </c>
      <c r="M10" s="357">
        <f>SUM(M4:M9)</f>
        <v>829401.47381437477</v>
      </c>
      <c r="O10" s="357">
        <f>SUM(O4:O9)</f>
        <v>850136.51065973402</v>
      </c>
      <c r="Q10" s="357">
        <f>SUM(Q4:Q9)</f>
        <v>871389.92342622741</v>
      </c>
      <c r="S10" s="357">
        <f>SUM(S4:S9)</f>
        <v>893174.67151188303</v>
      </c>
      <c r="U10" s="357">
        <f>SUM(U4:U9)</f>
        <v>915504.03829968011</v>
      </c>
      <c r="W10" s="357">
        <f>SUM(W4:W9)</f>
        <v>938391.63925717201</v>
      </c>
      <c r="Y10" s="357">
        <f>SUM(Y4:Y9)</f>
        <v>961851.43023860117</v>
      </c>
      <c r="AA10" s="357">
        <f>SUM(AA4:AA9)</f>
        <v>985897.71599456598</v>
      </c>
      <c r="AC10" s="357">
        <f>SUM(AC4:AC9)</f>
        <v>1010545.15889443</v>
      </c>
      <c r="AE10" s="357">
        <f>SUM(AE4:AE9)</f>
        <v>1035808.7878667909</v>
      </c>
      <c r="AG10" s="357">
        <f>SUM(AG4:AG9)</f>
        <v>1061704.0075634604</v>
      </c>
    </row>
    <row r="11" spans="1:34">
      <c r="C11" s="367"/>
      <c r="E11" s="347"/>
      <c r="F11" s="347"/>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row>
    <row r="12" spans="1:34" ht="15.75">
      <c r="A12" s="340" t="s">
        <v>901</v>
      </c>
      <c r="C12" s="367"/>
      <c r="E12" s="347"/>
      <c r="F12" s="347"/>
      <c r="G12" s="347"/>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7"/>
      <c r="AG12" s="347"/>
    </row>
    <row r="13" spans="1:34" s="338" customFormat="1" ht="14.25">
      <c r="A13" s="338" t="s">
        <v>902</v>
      </c>
      <c r="C13" s="373">
        <v>1.0349999999999999</v>
      </c>
      <c r="E13" s="356"/>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row>
    <row r="14" spans="1:34" s="353" customFormat="1" ht="14.25">
      <c r="A14" s="353" t="s">
        <v>903</v>
      </c>
      <c r="C14" s="368"/>
      <c r="E14" s="353">
        <f>Application!W845</f>
        <v>26220</v>
      </c>
      <c r="G14" s="353">
        <f>E14*$C$13</f>
        <v>27137.699999999997</v>
      </c>
      <c r="I14" s="353">
        <f>G14*$C$13</f>
        <v>28087.519499999995</v>
      </c>
      <c r="K14" s="353">
        <f>I14*$C$13</f>
        <v>29070.582682499993</v>
      </c>
      <c r="M14" s="353">
        <f>K14*$C$13</f>
        <v>30088.053076387492</v>
      </c>
      <c r="O14" s="353">
        <f>M14*$C$13</f>
        <v>31141.13493406105</v>
      </c>
      <c r="Q14" s="353">
        <f>O14*$C$13</f>
        <v>32231.074656753186</v>
      </c>
      <c r="S14" s="353">
        <f>Q14*$C$13</f>
        <v>33359.162269739543</v>
      </c>
      <c r="U14" s="353">
        <f>S14*$C$13</f>
        <v>34526.732949180427</v>
      </c>
      <c r="W14" s="353">
        <f>U14*$C$13</f>
        <v>35735.16860240174</v>
      </c>
      <c r="Y14" s="353">
        <f>W14*$C$13</f>
        <v>36985.899503485794</v>
      </c>
      <c r="AA14" s="353">
        <f>Y14*$C$13</f>
        <v>38280.405986107791</v>
      </c>
      <c r="AC14" s="353">
        <f>AA14*$C$13</f>
        <v>39620.220195621558</v>
      </c>
      <c r="AE14" s="353">
        <f>AC14*$C$13</f>
        <v>41006.927902468306</v>
      </c>
      <c r="AG14" s="353">
        <f>AE14*$C$13</f>
        <v>42442.170379054696</v>
      </c>
    </row>
    <row r="15" spans="1:34" s="338" customFormat="1" ht="14.25">
      <c r="A15" s="338" t="s">
        <v>353</v>
      </c>
      <c r="C15" s="367"/>
      <c r="E15" s="356">
        <f>Application!W847</f>
        <v>39000</v>
      </c>
      <c r="F15" s="356"/>
      <c r="G15" s="356">
        <f t="shared" ref="G15:AG20" si="0">E15*$C$13</f>
        <v>40365</v>
      </c>
      <c r="H15" s="356"/>
      <c r="I15" s="356">
        <f t="shared" si="0"/>
        <v>41777.774999999994</v>
      </c>
      <c r="J15" s="356"/>
      <c r="K15" s="356">
        <f t="shared" si="0"/>
        <v>43239.997124999987</v>
      </c>
      <c r="L15" s="356"/>
      <c r="M15" s="356">
        <f t="shared" si="0"/>
        <v>44753.397024374986</v>
      </c>
      <c r="N15" s="356"/>
      <c r="O15" s="356">
        <f t="shared" si="0"/>
        <v>46319.765920228107</v>
      </c>
      <c r="P15" s="356"/>
      <c r="Q15" s="356">
        <f t="shared" si="0"/>
        <v>47940.957727436085</v>
      </c>
      <c r="R15" s="356"/>
      <c r="S15" s="356">
        <f t="shared" si="0"/>
        <v>49618.891247896347</v>
      </c>
      <c r="T15" s="356"/>
      <c r="U15" s="356">
        <f t="shared" si="0"/>
        <v>51355.552441572712</v>
      </c>
      <c r="V15" s="356"/>
      <c r="W15" s="356">
        <f t="shared" si="0"/>
        <v>53152.996777027751</v>
      </c>
      <c r="X15" s="356"/>
      <c r="Y15" s="356">
        <f t="shared" si="0"/>
        <v>55013.351664223715</v>
      </c>
      <c r="Z15" s="356"/>
      <c r="AA15" s="356">
        <f t="shared" si="0"/>
        <v>56938.818972471541</v>
      </c>
      <c r="AB15" s="356"/>
      <c r="AC15" s="356">
        <f t="shared" si="0"/>
        <v>58931.677636508044</v>
      </c>
      <c r="AD15" s="356"/>
      <c r="AE15" s="356">
        <f t="shared" si="0"/>
        <v>60994.286353785821</v>
      </c>
      <c r="AF15" s="356"/>
      <c r="AG15" s="356">
        <f t="shared" si="0"/>
        <v>63129.086376168321</v>
      </c>
    </row>
    <row r="16" spans="1:34" s="338" customFormat="1" ht="14.25">
      <c r="A16" s="338" t="s">
        <v>593</v>
      </c>
      <c r="C16" s="367"/>
      <c r="E16" s="356">
        <f>Application!W853</f>
        <v>76440</v>
      </c>
      <c r="F16" s="356"/>
      <c r="G16" s="356">
        <f t="shared" si="0"/>
        <v>79115.399999999994</v>
      </c>
      <c r="H16" s="356"/>
      <c r="I16" s="356">
        <f t="shared" si="0"/>
        <v>81884.438999999984</v>
      </c>
      <c r="J16" s="356"/>
      <c r="K16" s="356">
        <f t="shared" si="0"/>
        <v>84750.394364999971</v>
      </c>
      <c r="L16" s="356"/>
      <c r="M16" s="356">
        <f t="shared" si="0"/>
        <v>87716.658167774964</v>
      </c>
      <c r="N16" s="356"/>
      <c r="O16" s="356">
        <f t="shared" si="0"/>
        <v>90786.741203647078</v>
      </c>
      <c r="P16" s="356"/>
      <c r="Q16" s="356">
        <f t="shared" si="0"/>
        <v>93964.277145774715</v>
      </c>
      <c r="R16" s="356"/>
      <c r="S16" s="356">
        <f t="shared" si="0"/>
        <v>97253.026845876826</v>
      </c>
      <c r="T16" s="356"/>
      <c r="U16" s="356">
        <f t="shared" si="0"/>
        <v>100656.88278548251</v>
      </c>
      <c r="V16" s="356"/>
      <c r="W16" s="356">
        <f t="shared" si="0"/>
        <v>104179.87368297439</v>
      </c>
      <c r="X16" s="356"/>
      <c r="Y16" s="356">
        <f t="shared" si="0"/>
        <v>107826.16926187849</v>
      </c>
      <c r="Z16" s="356"/>
      <c r="AA16" s="356">
        <f t="shared" si="0"/>
        <v>111600.08518604422</v>
      </c>
      <c r="AB16" s="356"/>
      <c r="AC16" s="356">
        <f t="shared" si="0"/>
        <v>115506.08816755576</v>
      </c>
      <c r="AD16" s="356"/>
      <c r="AE16" s="356">
        <f t="shared" si="0"/>
        <v>119548.8012534202</v>
      </c>
      <c r="AF16" s="356"/>
      <c r="AG16" s="356">
        <f t="shared" si="0"/>
        <v>123733.0092972899</v>
      </c>
    </row>
    <row r="17" spans="1:33" s="338" customFormat="1" ht="14.25">
      <c r="A17" s="338" t="s">
        <v>904</v>
      </c>
      <c r="C17" s="367"/>
      <c r="E17" s="356">
        <f>Application!W860</f>
        <v>117980</v>
      </c>
      <c r="F17" s="356"/>
      <c r="G17" s="356">
        <f t="shared" si="0"/>
        <v>122109.29999999999</v>
      </c>
      <c r="H17" s="356"/>
      <c r="I17" s="356">
        <f t="shared" si="0"/>
        <v>126383.12549999998</v>
      </c>
      <c r="J17" s="356"/>
      <c r="K17" s="356">
        <f t="shared" si="0"/>
        <v>130806.53489249997</v>
      </c>
      <c r="L17" s="356"/>
      <c r="M17" s="356">
        <f t="shared" si="0"/>
        <v>135384.76361373745</v>
      </c>
      <c r="N17" s="356"/>
      <c r="O17" s="356">
        <f t="shared" si="0"/>
        <v>140123.23034021826</v>
      </c>
      <c r="P17" s="356"/>
      <c r="Q17" s="356">
        <f t="shared" si="0"/>
        <v>145027.54340212588</v>
      </c>
      <c r="R17" s="356"/>
      <c r="S17" s="356">
        <f t="shared" si="0"/>
        <v>150103.50742120028</v>
      </c>
      <c r="T17" s="356"/>
      <c r="U17" s="356">
        <f t="shared" si="0"/>
        <v>155357.13018094227</v>
      </c>
      <c r="V17" s="356"/>
      <c r="W17" s="356">
        <f t="shared" si="0"/>
        <v>160794.62973727525</v>
      </c>
      <c r="X17" s="356"/>
      <c r="Y17" s="356">
        <f t="shared" si="0"/>
        <v>166422.44177807987</v>
      </c>
      <c r="Z17" s="356"/>
      <c r="AA17" s="356">
        <f t="shared" si="0"/>
        <v>172247.22724031264</v>
      </c>
      <c r="AB17" s="356"/>
      <c r="AC17" s="356">
        <f t="shared" si="0"/>
        <v>178275.88019372357</v>
      </c>
      <c r="AD17" s="356"/>
      <c r="AE17" s="356">
        <f t="shared" si="0"/>
        <v>184515.53600050387</v>
      </c>
      <c r="AF17" s="356"/>
      <c r="AG17" s="356">
        <f t="shared" si="0"/>
        <v>190973.57976052148</v>
      </c>
    </row>
    <row r="18" spans="1:33" s="338" customFormat="1" ht="14.25">
      <c r="A18" s="338" t="s">
        <v>160</v>
      </c>
      <c r="C18" s="367"/>
      <c r="E18" s="356">
        <f>Application!W861</f>
        <v>22750</v>
      </c>
      <c r="F18" s="356"/>
      <c r="G18" s="356">
        <f t="shared" si="0"/>
        <v>23546.25</v>
      </c>
      <c r="H18" s="356"/>
      <c r="I18" s="356">
        <f t="shared" si="0"/>
        <v>24370.368749999998</v>
      </c>
      <c r="J18" s="356"/>
      <c r="K18" s="356">
        <f t="shared" si="0"/>
        <v>25223.331656249997</v>
      </c>
      <c r="L18" s="356"/>
      <c r="M18" s="356">
        <f t="shared" si="0"/>
        <v>26106.148264218744</v>
      </c>
      <c r="N18" s="356"/>
      <c r="O18" s="356">
        <f t="shared" si="0"/>
        <v>27019.863453466398</v>
      </c>
      <c r="P18" s="356"/>
      <c r="Q18" s="356">
        <f t="shared" si="0"/>
        <v>27965.558674337721</v>
      </c>
      <c r="R18" s="356"/>
      <c r="S18" s="356">
        <f t="shared" si="0"/>
        <v>28944.35322793954</v>
      </c>
      <c r="T18" s="356"/>
      <c r="U18" s="356">
        <f t="shared" si="0"/>
        <v>29957.40559091742</v>
      </c>
      <c r="V18" s="356"/>
      <c r="W18" s="356">
        <f t="shared" si="0"/>
        <v>31005.914786599529</v>
      </c>
      <c r="X18" s="356"/>
      <c r="Y18" s="356">
        <f t="shared" si="0"/>
        <v>32091.121804130511</v>
      </c>
      <c r="Z18" s="356"/>
      <c r="AA18" s="356">
        <f t="shared" si="0"/>
        <v>33214.311067275077</v>
      </c>
      <c r="AB18" s="356"/>
      <c r="AC18" s="356">
        <f t="shared" si="0"/>
        <v>34376.811954629702</v>
      </c>
      <c r="AD18" s="356"/>
      <c r="AE18" s="356">
        <f t="shared" si="0"/>
        <v>35580.000373041737</v>
      </c>
      <c r="AF18" s="356"/>
      <c r="AG18" s="356">
        <f t="shared" si="0"/>
        <v>36825.300386098199</v>
      </c>
    </row>
    <row r="19" spans="1:33" s="338" customFormat="1" ht="14.25">
      <c r="A19" s="338" t="s">
        <v>408</v>
      </c>
      <c r="C19" s="367"/>
      <c r="E19" s="356">
        <f>Application!W870</f>
        <v>78586</v>
      </c>
      <c r="F19" s="356"/>
      <c r="G19" s="356">
        <f t="shared" si="0"/>
        <v>81336.509999999995</v>
      </c>
      <c r="H19" s="356"/>
      <c r="I19" s="356">
        <f t="shared" si="0"/>
        <v>84183.287849999993</v>
      </c>
      <c r="J19" s="356"/>
      <c r="K19" s="356">
        <f t="shared" si="0"/>
        <v>87129.702924749989</v>
      </c>
      <c r="L19" s="356"/>
      <c r="M19" s="356">
        <f t="shared" si="0"/>
        <v>90179.242527116236</v>
      </c>
      <c r="N19" s="356"/>
      <c r="O19" s="356">
        <f t="shared" si="0"/>
        <v>93335.516015565299</v>
      </c>
      <c r="P19" s="356"/>
      <c r="Q19" s="356">
        <f t="shared" si="0"/>
        <v>96602.259076110073</v>
      </c>
      <c r="R19" s="356"/>
      <c r="S19" s="356">
        <f t="shared" si="0"/>
        <v>99983.338143773915</v>
      </c>
      <c r="T19" s="356"/>
      <c r="U19" s="356">
        <f t="shared" si="0"/>
        <v>103482.754978806</v>
      </c>
      <c r="V19" s="356"/>
      <c r="W19" s="356">
        <f t="shared" si="0"/>
        <v>107104.6514030642</v>
      </c>
      <c r="X19" s="356"/>
      <c r="Y19" s="356">
        <f t="shared" si="0"/>
        <v>110853.31420217144</v>
      </c>
      <c r="Z19" s="356"/>
      <c r="AA19" s="356">
        <f t="shared" si="0"/>
        <v>114733.18019924744</v>
      </c>
      <c r="AB19" s="356"/>
      <c r="AC19" s="356">
        <f t="shared" si="0"/>
        <v>118748.84150622108</v>
      </c>
      <c r="AD19" s="356"/>
      <c r="AE19" s="356">
        <f t="shared" si="0"/>
        <v>122905.05095893881</v>
      </c>
      <c r="AF19" s="356"/>
      <c r="AG19" s="356">
        <f t="shared" si="0"/>
        <v>127206.72774250165</v>
      </c>
    </row>
    <row r="20" spans="1:33" s="338" customFormat="1" ht="14.25">
      <c r="A20" s="360" t="s">
        <v>2679</v>
      </c>
      <c r="B20" s="360"/>
      <c r="C20" s="367"/>
      <c r="E20" s="366">
        <f>Application!W877</f>
        <v>240</v>
      </c>
      <c r="F20" s="356"/>
      <c r="G20" s="366">
        <f t="shared" si="0"/>
        <v>248.39999999999998</v>
      </c>
      <c r="H20" s="356"/>
      <c r="I20" s="366">
        <f t="shared" si="0"/>
        <v>257.09399999999994</v>
      </c>
      <c r="J20" s="356"/>
      <c r="K20" s="366">
        <f t="shared" si="0"/>
        <v>266.09228999999993</v>
      </c>
      <c r="L20" s="356"/>
      <c r="M20" s="366">
        <f t="shared" si="0"/>
        <v>275.40552014999992</v>
      </c>
      <c r="N20" s="356"/>
      <c r="O20" s="366">
        <f t="shared" si="0"/>
        <v>285.04471335524988</v>
      </c>
      <c r="P20" s="356"/>
      <c r="Q20" s="366">
        <f t="shared" si="0"/>
        <v>295.0212783226836</v>
      </c>
      <c r="R20" s="356"/>
      <c r="S20" s="366">
        <f t="shared" si="0"/>
        <v>305.34702306397747</v>
      </c>
      <c r="T20" s="356"/>
      <c r="U20" s="366">
        <f t="shared" si="0"/>
        <v>316.03416887121665</v>
      </c>
      <c r="V20" s="356"/>
      <c r="W20" s="366">
        <f t="shared" si="0"/>
        <v>327.09536478170924</v>
      </c>
      <c r="X20" s="356"/>
      <c r="Y20" s="366">
        <f t="shared" si="0"/>
        <v>338.54370254906905</v>
      </c>
      <c r="Z20" s="356"/>
      <c r="AA20" s="366">
        <f t="shared" si="0"/>
        <v>350.39273213828642</v>
      </c>
      <c r="AB20" s="356"/>
      <c r="AC20" s="366">
        <f t="shared" si="0"/>
        <v>362.65647776312642</v>
      </c>
      <c r="AD20" s="356"/>
      <c r="AE20" s="366">
        <f t="shared" si="0"/>
        <v>375.3494544848358</v>
      </c>
      <c r="AF20" s="356"/>
      <c r="AG20" s="366">
        <f t="shared" si="0"/>
        <v>388.48668539180505</v>
      </c>
    </row>
    <row r="21" spans="1:33" s="357" customFormat="1" ht="15">
      <c r="A21" s="357" t="s">
        <v>905</v>
      </c>
      <c r="C21" s="367"/>
      <c r="E21" s="357">
        <f>SUM(E14:E20)</f>
        <v>361216</v>
      </c>
      <c r="G21" s="357">
        <f>SUM(G14:G20)</f>
        <v>373858.56</v>
      </c>
      <c r="I21" s="357">
        <f>SUM(I14:I20)</f>
        <v>386943.60959999991</v>
      </c>
      <c r="K21" s="357">
        <f>SUM(K14:K20)</f>
        <v>400486.63593599992</v>
      </c>
      <c r="M21" s="357">
        <f>SUM(M14:M20)</f>
        <v>414503.66819375986</v>
      </c>
      <c r="O21" s="357">
        <f>SUM(O14:O20)</f>
        <v>429011.29658054141</v>
      </c>
      <c r="Q21" s="357">
        <f>SUM(Q14:Q20)</f>
        <v>444026.69196086039</v>
      </c>
      <c r="S21" s="357">
        <f>SUM(S14:S20)</f>
        <v>459567.62617949041</v>
      </c>
      <c r="U21" s="357">
        <f>SUM(U14:U20)</f>
        <v>475652.49309577257</v>
      </c>
      <c r="W21" s="357">
        <f>SUM(W14:W20)</f>
        <v>492300.3303541246</v>
      </c>
      <c r="Y21" s="357">
        <f>SUM(Y14:Y20)</f>
        <v>509530.84191651893</v>
      </c>
      <c r="AA21" s="357">
        <f>SUM(AA14:AA20)</f>
        <v>527364.42138359696</v>
      </c>
      <c r="AC21" s="357">
        <f>SUM(AC14:AC20)</f>
        <v>545822.17613202287</v>
      </c>
      <c r="AE21" s="357">
        <f>SUM(AE14:AE20)</f>
        <v>564925.95229664363</v>
      </c>
      <c r="AG21" s="357">
        <f>SUM(AG14:AG20)</f>
        <v>584698.36062702606</v>
      </c>
    </row>
    <row r="22" spans="1:33" s="338" customFormat="1" ht="14.25">
      <c r="C22" s="367"/>
      <c r="E22" s="356"/>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row>
    <row r="23" spans="1:33" s="338" customFormat="1" ht="14.25">
      <c r="A23" s="338" t="s">
        <v>2157</v>
      </c>
      <c r="C23" s="367"/>
      <c r="E23" s="1604">
        <v>0</v>
      </c>
      <c r="F23" s="356"/>
      <c r="G23" s="356">
        <f>E23*$C$23</f>
        <v>0</v>
      </c>
      <c r="H23" s="356"/>
      <c r="I23" s="356">
        <f>G23*$C$23</f>
        <v>0</v>
      </c>
      <c r="J23" s="356"/>
      <c r="K23" s="356">
        <f>I23*$C$23</f>
        <v>0</v>
      </c>
      <c r="L23" s="356"/>
      <c r="M23" s="356">
        <f>K23*$C$23</f>
        <v>0</v>
      </c>
      <c r="N23" s="356"/>
      <c r="O23" s="356">
        <f>M23*$C$23</f>
        <v>0</v>
      </c>
      <c r="P23" s="356"/>
      <c r="Q23" s="356">
        <f>O23*$C$23</f>
        <v>0</v>
      </c>
      <c r="R23" s="356"/>
      <c r="S23" s="356">
        <f>Q23*$C$23</f>
        <v>0</v>
      </c>
      <c r="T23" s="356"/>
      <c r="U23" s="356">
        <f>S23*$C$23</f>
        <v>0</v>
      </c>
      <c r="V23" s="356"/>
      <c r="W23" s="356">
        <f>U23*$C$23</f>
        <v>0</v>
      </c>
      <c r="X23" s="356"/>
      <c r="Y23" s="356">
        <f>W23*$C$23</f>
        <v>0</v>
      </c>
      <c r="Z23" s="356"/>
      <c r="AA23" s="356">
        <f>Y23*$C$23</f>
        <v>0</v>
      </c>
      <c r="AB23" s="356"/>
      <c r="AC23" s="356">
        <f>AA23*$C$23</f>
        <v>0</v>
      </c>
      <c r="AD23" s="356"/>
      <c r="AE23" s="356">
        <f>AC23*$C$23</f>
        <v>0</v>
      </c>
      <c r="AF23" s="356"/>
      <c r="AG23" s="356">
        <f>AE23*$C$23</f>
        <v>0</v>
      </c>
    </row>
    <row r="24" spans="1:33" s="338" customFormat="1" ht="14.25">
      <c r="C24" s="367"/>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row>
    <row r="25" spans="1:33" s="338" customFormat="1" ht="14.25">
      <c r="A25" s="338" t="s">
        <v>1352</v>
      </c>
      <c r="C25" s="375">
        <v>1.0349999999999999</v>
      </c>
      <c r="E25" s="356">
        <f>Application!AC885</f>
        <v>0</v>
      </c>
      <c r="F25" s="356"/>
      <c r="G25" s="356">
        <f>E25*$C$25</f>
        <v>0</v>
      </c>
      <c r="H25" s="356"/>
      <c r="I25" s="356">
        <f>G25*$C$25</f>
        <v>0</v>
      </c>
      <c r="J25" s="356"/>
      <c r="K25" s="356">
        <f>I25*$C$25</f>
        <v>0</v>
      </c>
      <c r="L25" s="356"/>
      <c r="M25" s="356">
        <f>K25*$C$25</f>
        <v>0</v>
      </c>
      <c r="N25" s="356"/>
      <c r="O25" s="356">
        <f>M25*$C$25</f>
        <v>0</v>
      </c>
      <c r="P25" s="356"/>
      <c r="Q25" s="356">
        <f>O25*$C$25</f>
        <v>0</v>
      </c>
      <c r="R25" s="356"/>
      <c r="S25" s="356">
        <f>Q25*$C$25</f>
        <v>0</v>
      </c>
      <c r="T25" s="356"/>
      <c r="U25" s="356">
        <f>S25*$C$25</f>
        <v>0</v>
      </c>
      <c r="V25" s="356"/>
      <c r="W25" s="356">
        <f>U25*$C$25</f>
        <v>0</v>
      </c>
      <c r="X25" s="356"/>
      <c r="Y25" s="356">
        <f>W25*$C$25</f>
        <v>0</v>
      </c>
      <c r="Z25" s="356"/>
      <c r="AA25" s="356">
        <f>Y25*$C$25</f>
        <v>0</v>
      </c>
      <c r="AB25" s="356"/>
      <c r="AC25" s="356">
        <f>AA25*$C$25</f>
        <v>0</v>
      </c>
      <c r="AD25" s="356"/>
      <c r="AE25" s="356">
        <f>AC25*$C$25</f>
        <v>0</v>
      </c>
      <c r="AF25" s="356"/>
      <c r="AG25" s="356">
        <f>AE25*$C$25</f>
        <v>0</v>
      </c>
    </row>
    <row r="26" spans="1:33" s="338" customFormat="1" ht="14.25">
      <c r="A26" s="338" t="s">
        <v>907</v>
      </c>
      <c r="C26" s="375">
        <v>1.0349999999999999</v>
      </c>
      <c r="E26" s="356">
        <f>Application!AC886</f>
        <v>48000</v>
      </c>
      <c r="F26" s="356"/>
      <c r="G26" s="356">
        <f>E26*$C$26</f>
        <v>49679.999999999993</v>
      </c>
      <c r="H26" s="356"/>
      <c r="I26" s="356">
        <f>G26*$C$26</f>
        <v>51418.799999999988</v>
      </c>
      <c r="J26" s="356"/>
      <c r="K26" s="356">
        <f>I26*$C$26</f>
        <v>53218.457999999984</v>
      </c>
      <c r="L26" s="356"/>
      <c r="M26" s="356">
        <f>K26*$C$26</f>
        <v>55081.10402999998</v>
      </c>
      <c r="N26" s="356"/>
      <c r="O26" s="356">
        <f>M26*$C$26</f>
        <v>57008.942671049976</v>
      </c>
      <c r="P26" s="356"/>
      <c r="Q26" s="356">
        <f>O26*$C$26</f>
        <v>59004.255664536722</v>
      </c>
      <c r="R26" s="356"/>
      <c r="S26" s="356">
        <f>Q26*$C$26</f>
        <v>61069.404612795501</v>
      </c>
      <c r="T26" s="356"/>
      <c r="U26" s="356">
        <f>S26*$C$26</f>
        <v>63206.833774243336</v>
      </c>
      <c r="V26" s="356"/>
      <c r="W26" s="356">
        <f>U26*$C$26</f>
        <v>65419.07295634185</v>
      </c>
      <c r="X26" s="356"/>
      <c r="Y26" s="356">
        <f>W26*$C$26</f>
        <v>67708.740509813812</v>
      </c>
      <c r="Z26" s="356"/>
      <c r="AA26" s="356">
        <f>Y26*$C$26</f>
        <v>70078.546427657289</v>
      </c>
      <c r="AB26" s="356"/>
      <c r="AC26" s="356">
        <f>AA26*$C$26</f>
        <v>72531.295552625292</v>
      </c>
      <c r="AD26" s="356"/>
      <c r="AE26" s="356">
        <f>AC26*$C$26</f>
        <v>75069.890896967176</v>
      </c>
      <c r="AF26" s="356"/>
      <c r="AG26" s="356">
        <f>AE26*$C$26</f>
        <v>77697.337078361015</v>
      </c>
    </row>
    <row r="27" spans="1:33" s="338" customFormat="1" ht="14.25">
      <c r="A27" s="338" t="s">
        <v>908</v>
      </c>
      <c r="C27" s="375"/>
      <c r="E27" s="356">
        <f>Application!AC887</f>
        <v>32500</v>
      </c>
      <c r="F27" s="356"/>
      <c r="G27" s="356">
        <f>$E$27</f>
        <v>32500</v>
      </c>
      <c r="H27" s="356"/>
      <c r="I27" s="356">
        <f>$E$27</f>
        <v>32500</v>
      </c>
      <c r="J27" s="356"/>
      <c r="K27" s="356">
        <f>$E$27</f>
        <v>32500</v>
      </c>
      <c r="L27" s="356"/>
      <c r="M27" s="356">
        <f>$E$27</f>
        <v>32500</v>
      </c>
      <c r="N27" s="356"/>
      <c r="O27" s="356">
        <f>$E$27</f>
        <v>32500</v>
      </c>
      <c r="P27" s="356"/>
      <c r="Q27" s="356">
        <f>$E$27</f>
        <v>32500</v>
      </c>
      <c r="R27" s="356"/>
      <c r="S27" s="356">
        <f>$E$27</f>
        <v>32500</v>
      </c>
      <c r="T27" s="356"/>
      <c r="U27" s="356">
        <f>$E$27</f>
        <v>32500</v>
      </c>
      <c r="V27" s="356"/>
      <c r="W27" s="356">
        <f>$E$27</f>
        <v>32500</v>
      </c>
      <c r="X27" s="356"/>
      <c r="Y27" s="356">
        <f>$E$27</f>
        <v>32500</v>
      </c>
      <c r="Z27" s="356"/>
      <c r="AA27" s="356">
        <f>$E$27</f>
        <v>32500</v>
      </c>
      <c r="AB27" s="356"/>
      <c r="AC27" s="356">
        <f>$E$27</f>
        <v>32500</v>
      </c>
      <c r="AD27" s="356"/>
      <c r="AE27" s="356">
        <f>$E$27</f>
        <v>32500</v>
      </c>
      <c r="AF27" s="356"/>
      <c r="AG27" s="356">
        <f>$E$27</f>
        <v>32500</v>
      </c>
    </row>
    <row r="28" spans="1:33" s="338" customFormat="1" ht="14.25">
      <c r="A28" s="338" t="s">
        <v>2155</v>
      </c>
      <c r="C28" s="373"/>
      <c r="E28" s="356">
        <f>Application!AC888</f>
        <v>3000</v>
      </c>
      <c r="F28" s="356"/>
      <c r="G28" s="356">
        <f>$E$28</f>
        <v>3000</v>
      </c>
      <c r="H28" s="356"/>
      <c r="I28" s="356">
        <f>$E$28</f>
        <v>3000</v>
      </c>
      <c r="J28" s="356"/>
      <c r="K28" s="356">
        <f>$E$28</f>
        <v>3000</v>
      </c>
      <c r="L28" s="356"/>
      <c r="M28" s="356">
        <f>$E$28</f>
        <v>3000</v>
      </c>
      <c r="N28" s="356"/>
      <c r="O28" s="356">
        <f>$E$28</f>
        <v>3000</v>
      </c>
      <c r="P28" s="356"/>
      <c r="Q28" s="356">
        <f>$E$28</f>
        <v>3000</v>
      </c>
      <c r="R28" s="356"/>
      <c r="S28" s="356">
        <f>$E$28</f>
        <v>3000</v>
      </c>
      <c r="T28" s="356"/>
      <c r="U28" s="356">
        <f>$E$28</f>
        <v>3000</v>
      </c>
      <c r="V28" s="356"/>
      <c r="W28" s="356">
        <f>$E$28</f>
        <v>3000</v>
      </c>
      <c r="X28" s="356"/>
      <c r="Y28" s="356">
        <f>$E$28</f>
        <v>3000</v>
      </c>
      <c r="Z28" s="356"/>
      <c r="AA28" s="356">
        <f>$E$28</f>
        <v>3000</v>
      </c>
      <c r="AB28" s="356"/>
      <c r="AC28" s="356">
        <f>$E$28</f>
        <v>3000</v>
      </c>
      <c r="AD28" s="356"/>
      <c r="AE28" s="356">
        <f>$E$28</f>
        <v>3000</v>
      </c>
      <c r="AF28" s="356"/>
      <c r="AG28" s="356">
        <f>$E$28</f>
        <v>3000</v>
      </c>
    </row>
    <row r="29" spans="1:33" s="338" customFormat="1" ht="14.25">
      <c r="A29" s="338" t="s">
        <v>906</v>
      </c>
      <c r="C29" s="373">
        <v>1.02</v>
      </c>
      <c r="E29" s="356">
        <f>Application!AC889</f>
        <v>2500</v>
      </c>
      <c r="F29" s="356"/>
      <c r="G29" s="356">
        <f>E29*$C$29</f>
        <v>2550</v>
      </c>
      <c r="H29" s="356"/>
      <c r="I29" s="356">
        <f>G29*$C$29</f>
        <v>2601</v>
      </c>
      <c r="J29" s="356"/>
      <c r="K29" s="356">
        <f>I29*$C$29</f>
        <v>2653.02</v>
      </c>
      <c r="L29" s="356"/>
      <c r="M29" s="356">
        <f>K29*$C$29</f>
        <v>2706.0803999999998</v>
      </c>
      <c r="N29" s="356"/>
      <c r="O29" s="356">
        <f>M29*$C$29</f>
        <v>2760.2020079999998</v>
      </c>
      <c r="P29" s="356"/>
      <c r="Q29" s="356">
        <f>O29*$C$29</f>
        <v>2815.40604816</v>
      </c>
      <c r="R29" s="356"/>
      <c r="S29" s="356">
        <f>Q29*$C$29</f>
        <v>2871.7141691232</v>
      </c>
      <c r="T29" s="356"/>
      <c r="U29" s="356">
        <f>S29*$C$29</f>
        <v>2929.148452505664</v>
      </c>
      <c r="V29" s="356"/>
      <c r="W29" s="356">
        <f>U29*$C$29</f>
        <v>2987.7314215557772</v>
      </c>
      <c r="X29" s="356"/>
      <c r="Y29" s="356">
        <f>W29*$C$29</f>
        <v>3047.4860499868928</v>
      </c>
      <c r="Z29" s="356"/>
      <c r="AA29" s="356">
        <f>Y29*$C$29</f>
        <v>3108.4357709866308</v>
      </c>
      <c r="AB29" s="356"/>
      <c r="AC29" s="356">
        <f>AA29*$C$29</f>
        <v>3170.6044864063633</v>
      </c>
      <c r="AD29" s="356"/>
      <c r="AE29" s="356">
        <f>AC29*$C$29</f>
        <v>3234.0165761344906</v>
      </c>
      <c r="AF29" s="356"/>
      <c r="AG29" s="356">
        <f>AE29*$C$29</f>
        <v>3298.6969076571804</v>
      </c>
    </row>
    <row r="30" spans="1:33" s="338" customFormat="1" ht="14.25">
      <c r="A30" s="338" t="s">
        <v>2156</v>
      </c>
      <c r="C30" s="373">
        <v>1.02</v>
      </c>
      <c r="E30" s="356">
        <f>Application!AC890</f>
        <v>0</v>
      </c>
      <c r="F30" s="356"/>
      <c r="G30" s="356">
        <f>E30*$C$30</f>
        <v>0</v>
      </c>
      <c r="H30" s="356"/>
      <c r="I30" s="356">
        <f>G30*$C$30</f>
        <v>0</v>
      </c>
      <c r="J30" s="356"/>
      <c r="K30" s="356">
        <f>I30*$C$30</f>
        <v>0</v>
      </c>
      <c r="L30" s="356"/>
      <c r="M30" s="356">
        <f>K30*$C$30</f>
        <v>0</v>
      </c>
      <c r="N30" s="356"/>
      <c r="O30" s="356">
        <f>M30*$C$30</f>
        <v>0</v>
      </c>
      <c r="P30" s="356"/>
      <c r="Q30" s="356">
        <f>O30*$C$30</f>
        <v>0</v>
      </c>
      <c r="R30" s="356"/>
      <c r="S30" s="356">
        <f>Q30*$C$30</f>
        <v>0</v>
      </c>
      <c r="T30" s="356"/>
      <c r="U30" s="356">
        <f>S30*$C$30</f>
        <v>0</v>
      </c>
      <c r="V30" s="356"/>
      <c r="W30" s="356">
        <f>U30*$C$30</f>
        <v>0</v>
      </c>
      <c r="X30" s="356"/>
      <c r="Y30" s="356">
        <f>W30*$C$30</f>
        <v>0</v>
      </c>
      <c r="Z30" s="356"/>
      <c r="AA30" s="356">
        <f>Y30*$C$30</f>
        <v>0</v>
      </c>
      <c r="AB30" s="356"/>
      <c r="AC30" s="356">
        <f>AA30*$C$30</f>
        <v>0</v>
      </c>
      <c r="AD30" s="356"/>
      <c r="AE30" s="356">
        <f>AC30*$C$30</f>
        <v>0</v>
      </c>
      <c r="AF30" s="356"/>
      <c r="AG30" s="356">
        <f>AE30*$C$30</f>
        <v>0</v>
      </c>
    </row>
    <row r="31" spans="1:33" s="338" customFormat="1" ht="14.25">
      <c r="A31" s="3367" t="s">
        <v>2680</v>
      </c>
      <c r="B31" s="3367"/>
      <c r="C31" s="491"/>
      <c r="E31" s="356">
        <f>Application!AC891</f>
        <v>4000</v>
      </c>
      <c r="F31" s="356"/>
      <c r="G31" s="356">
        <f>E31</f>
        <v>4000</v>
      </c>
      <c r="H31" s="356"/>
      <c r="I31" s="356">
        <f>G31</f>
        <v>4000</v>
      </c>
      <c r="J31" s="356"/>
      <c r="K31" s="356">
        <f>I31</f>
        <v>4000</v>
      </c>
      <c r="L31" s="356"/>
      <c r="M31" s="356">
        <f>K31</f>
        <v>4000</v>
      </c>
      <c r="N31" s="356"/>
      <c r="O31" s="356">
        <f>M31</f>
        <v>4000</v>
      </c>
      <c r="P31" s="356"/>
      <c r="Q31" s="356">
        <f>O31</f>
        <v>4000</v>
      </c>
      <c r="R31" s="356"/>
      <c r="S31" s="356">
        <f>Q31</f>
        <v>4000</v>
      </c>
      <c r="T31" s="356"/>
      <c r="U31" s="356">
        <f>S31</f>
        <v>4000</v>
      </c>
      <c r="V31" s="356"/>
      <c r="W31" s="356">
        <f>U31</f>
        <v>4000</v>
      </c>
      <c r="X31" s="356"/>
      <c r="Y31" s="356">
        <f>W31</f>
        <v>4000</v>
      </c>
      <c r="Z31" s="356"/>
      <c r="AA31" s="356">
        <f>Y31</f>
        <v>4000</v>
      </c>
      <c r="AB31" s="356"/>
      <c r="AC31" s="356">
        <f>AA31</f>
        <v>4000</v>
      </c>
      <c r="AD31" s="356"/>
      <c r="AE31" s="356">
        <f>AC31</f>
        <v>4000</v>
      </c>
      <c r="AF31" s="356"/>
      <c r="AG31" s="356">
        <f>AE31</f>
        <v>4000</v>
      </c>
    </row>
    <row r="32" spans="1:33" s="338" customFormat="1" ht="14.25">
      <c r="A32" s="360"/>
      <c r="B32" s="360"/>
      <c r="C32" s="491"/>
      <c r="E32" s="356">
        <f>Application!AC892</f>
        <v>0</v>
      </c>
      <c r="F32" s="356"/>
      <c r="G32" s="356">
        <f>E32*$C$32</f>
        <v>0</v>
      </c>
      <c r="H32" s="356"/>
      <c r="I32" s="356">
        <f>G32*$C$32</f>
        <v>0</v>
      </c>
      <c r="J32" s="356"/>
      <c r="K32" s="356">
        <f>I32*$C$32</f>
        <v>0</v>
      </c>
      <c r="L32" s="356"/>
      <c r="M32" s="356">
        <f>K32*$C$32</f>
        <v>0</v>
      </c>
      <c r="N32" s="356"/>
      <c r="O32" s="356">
        <f>M32*$C$32</f>
        <v>0</v>
      </c>
      <c r="P32" s="356"/>
      <c r="Q32" s="356">
        <f>O32*$C$32</f>
        <v>0</v>
      </c>
      <c r="R32" s="356"/>
      <c r="S32" s="356">
        <f>Q32*$C$32</f>
        <v>0</v>
      </c>
      <c r="T32" s="356"/>
      <c r="U32" s="356">
        <f>S32*$C$32</f>
        <v>0</v>
      </c>
      <c r="V32" s="356"/>
      <c r="W32" s="356">
        <f>U32*$C$32</f>
        <v>0</v>
      </c>
      <c r="X32" s="356"/>
      <c r="Y32" s="356">
        <f>W32*$C$32</f>
        <v>0</v>
      </c>
      <c r="Z32" s="356"/>
      <c r="AA32" s="356">
        <f>Y32*$C$32</f>
        <v>0</v>
      </c>
      <c r="AB32" s="356"/>
      <c r="AC32" s="356">
        <f>AA32*$C$32</f>
        <v>0</v>
      </c>
      <c r="AD32" s="356"/>
      <c r="AE32" s="356">
        <f>AC32*$C$32</f>
        <v>0</v>
      </c>
      <c r="AF32" s="356"/>
      <c r="AG32" s="356">
        <f>AE32*$C$32</f>
        <v>0</v>
      </c>
    </row>
    <row r="33" spans="1:33" s="338" customFormat="1" ht="14.25">
      <c r="C33" s="354"/>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row>
    <row r="34" spans="1:33" s="357" customFormat="1" ht="15">
      <c r="A34" s="357" t="s">
        <v>182</v>
      </c>
      <c r="C34" s="358"/>
      <c r="E34" s="357">
        <f>SUM(E21:E32)</f>
        <v>451216</v>
      </c>
      <c r="G34" s="357">
        <f>SUM(G21:G32)</f>
        <v>465588.56</v>
      </c>
      <c r="I34" s="357">
        <f>SUM(I21:I32)</f>
        <v>480463.4095999999</v>
      </c>
      <c r="K34" s="357">
        <f>SUM(K21:K32)</f>
        <v>495858.11393599992</v>
      </c>
      <c r="M34" s="357">
        <f>SUM(M21:M32)</f>
        <v>511790.85262375983</v>
      </c>
      <c r="O34" s="357">
        <f>SUM(O21:O32)</f>
        <v>528280.44125959137</v>
      </c>
      <c r="Q34" s="357">
        <f>SUM(Q21:Q32)</f>
        <v>545346.35367355717</v>
      </c>
      <c r="S34" s="357">
        <f>SUM(S21:S32)</f>
        <v>563008.74496140913</v>
      </c>
      <c r="U34" s="357">
        <f>SUM(U21:U32)</f>
        <v>581288.47532252164</v>
      </c>
      <c r="W34" s="357">
        <f>SUM(W21:W32)</f>
        <v>600207.13473202218</v>
      </c>
      <c r="Y34" s="357">
        <f>SUM(Y21:Y32)</f>
        <v>619787.06847631966</v>
      </c>
      <c r="AA34" s="357">
        <f>SUM(AA21:AA32)</f>
        <v>640051.4035822408</v>
      </c>
      <c r="AC34" s="357">
        <f>SUM(AC21:AC32)</f>
        <v>661024.0761710545</v>
      </c>
      <c r="AE34" s="357">
        <f>SUM(AE21:AE32)</f>
        <v>682729.85976974526</v>
      </c>
      <c r="AG34" s="357">
        <f>SUM(AG21:AG32)</f>
        <v>705194.39461304434</v>
      </c>
    </row>
    <row r="35" spans="1:33" s="338" customFormat="1" ht="14.25">
      <c r="C35" s="354"/>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row>
    <row r="36" spans="1:33" s="357" customFormat="1" ht="15">
      <c r="A36" s="357" t="s">
        <v>909</v>
      </c>
      <c r="C36" s="358"/>
      <c r="E36" s="357">
        <f>E10-E34</f>
        <v>300180.79999999993</v>
      </c>
      <c r="G36" s="357">
        <f>G10-G34</f>
        <v>304593.15999999974</v>
      </c>
      <c r="I36" s="357">
        <f>I10-I34</f>
        <v>308972.85340000002</v>
      </c>
      <c r="K36" s="357">
        <f>K10-K34</f>
        <v>313314.05563899991</v>
      </c>
      <c r="M36" s="357">
        <f>M10-M34</f>
        <v>317610.62119061494</v>
      </c>
      <c r="O36" s="357">
        <f>O10-O34</f>
        <v>321856.06940014265</v>
      </c>
      <c r="Q36" s="357">
        <f>Q10-Q34</f>
        <v>326043.56975267024</v>
      </c>
      <c r="S36" s="357">
        <f>S10-S34</f>
        <v>330165.9265504739</v>
      </c>
      <c r="U36" s="357">
        <f>U10-U34</f>
        <v>334215.56297715846</v>
      </c>
      <c r="W36" s="357">
        <f>W10-W34</f>
        <v>338184.50452514982</v>
      </c>
      <c r="Y36" s="357">
        <f>Y10-Y34</f>
        <v>342064.36176228151</v>
      </c>
      <c r="AA36" s="357">
        <f>AA10-AA34</f>
        <v>345846.31241232518</v>
      </c>
      <c r="AC36" s="357">
        <f>AC10-AC34</f>
        <v>349521.08272337553</v>
      </c>
      <c r="AE36" s="357">
        <f>AE10-AE34</f>
        <v>353078.92809704563</v>
      </c>
      <c r="AG36" s="357">
        <f>AG10-AG34</f>
        <v>356509.61295041605</v>
      </c>
    </row>
    <row r="37" spans="1:33" s="338" customFormat="1" ht="14.25">
      <c r="C37" s="354"/>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row>
    <row r="38" spans="1:33" s="338" customFormat="1" ht="15">
      <c r="A38" s="352" t="s">
        <v>922</v>
      </c>
      <c r="C38" s="354"/>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row>
    <row r="39" spans="1:33" s="338" customFormat="1" ht="14.25">
      <c r="A39" s="359" t="str">
        <f>Application!C637</f>
        <v>CCRC Permanent Loan</v>
      </c>
      <c r="B39" s="360"/>
      <c r="C39" s="354"/>
      <c r="E39" s="356">
        <f>Application!AF637</f>
        <v>194867</v>
      </c>
      <c r="F39" s="356"/>
      <c r="G39" s="356">
        <f>$E$39</f>
        <v>194867</v>
      </c>
      <c r="H39" s="356"/>
      <c r="I39" s="356">
        <f>$E$39</f>
        <v>194867</v>
      </c>
      <c r="J39" s="356"/>
      <c r="K39" s="356">
        <f>$E$39</f>
        <v>194867</v>
      </c>
      <c r="L39" s="356"/>
      <c r="M39" s="356">
        <f>$E$39</f>
        <v>194867</v>
      </c>
      <c r="N39" s="356"/>
      <c r="O39" s="356">
        <f>$E$39</f>
        <v>194867</v>
      </c>
      <c r="P39" s="356"/>
      <c r="Q39" s="356">
        <f>$E$39</f>
        <v>194867</v>
      </c>
      <c r="R39" s="356"/>
      <c r="S39" s="356">
        <f>$E$39</f>
        <v>194867</v>
      </c>
      <c r="T39" s="356"/>
      <c r="U39" s="356">
        <f>$E$39</f>
        <v>194867</v>
      </c>
      <c r="V39" s="356"/>
      <c r="W39" s="356">
        <f>$E$39</f>
        <v>194867</v>
      </c>
      <c r="X39" s="356"/>
      <c r="Y39" s="356">
        <f>$E$39</f>
        <v>194867</v>
      </c>
      <c r="Z39" s="356"/>
      <c r="AA39" s="356">
        <f>$E$39</f>
        <v>194867</v>
      </c>
      <c r="AB39" s="356"/>
      <c r="AC39" s="356">
        <f>$E$39</f>
        <v>194867</v>
      </c>
      <c r="AD39" s="356"/>
      <c r="AE39" s="356">
        <f>$E$39</f>
        <v>194867</v>
      </c>
      <c r="AF39" s="356"/>
      <c r="AG39" s="356">
        <f>$E$39</f>
        <v>194867</v>
      </c>
    </row>
    <row r="40" spans="1:33" s="338" customFormat="1" ht="14.25">
      <c r="A40" s="3368" t="s">
        <v>2681</v>
      </c>
      <c r="B40" s="3368"/>
      <c r="C40" s="354"/>
      <c r="E40" s="356">
        <f>Application!AF638</f>
        <v>54613.666799999999</v>
      </c>
      <c r="F40" s="356"/>
      <c r="G40" s="356">
        <f>$E$40</f>
        <v>54613.666799999999</v>
      </c>
      <c r="H40" s="356"/>
      <c r="I40" s="356">
        <f>$E$40</f>
        <v>54613.666799999999</v>
      </c>
      <c r="J40" s="356"/>
      <c r="K40" s="356">
        <f>$E$40</f>
        <v>54613.666799999999</v>
      </c>
      <c r="L40" s="356"/>
      <c r="M40" s="356">
        <f>$E$40</f>
        <v>54613.666799999999</v>
      </c>
      <c r="N40" s="356"/>
      <c r="O40" s="356">
        <f>$E$40</f>
        <v>54613.666799999999</v>
      </c>
      <c r="P40" s="356"/>
      <c r="Q40" s="356">
        <f>$E$40</f>
        <v>54613.666799999999</v>
      </c>
      <c r="R40" s="356"/>
      <c r="S40" s="356">
        <f>$E$40</f>
        <v>54613.666799999999</v>
      </c>
      <c r="T40" s="356"/>
      <c r="U40" s="356">
        <f>$E$40</f>
        <v>54613.666799999999</v>
      </c>
      <c r="V40" s="356"/>
      <c r="W40" s="356">
        <f>$E$40</f>
        <v>54613.666799999999</v>
      </c>
      <c r="X40" s="356"/>
      <c r="Y40" s="356">
        <f>$E$40</f>
        <v>54613.666799999999</v>
      </c>
      <c r="Z40" s="356"/>
      <c r="AA40" s="356">
        <f>$E$40</f>
        <v>54613.666799999999</v>
      </c>
      <c r="AB40" s="356"/>
      <c r="AC40" s="356">
        <f>$E$40</f>
        <v>54613.666799999999</v>
      </c>
      <c r="AD40" s="356"/>
      <c r="AE40" s="356">
        <f>$E$40</f>
        <v>54613.666799999999</v>
      </c>
      <c r="AF40" s="356"/>
      <c r="AG40" s="356">
        <f>$E$40</f>
        <v>54613.666799999999</v>
      </c>
    </row>
    <row r="41" spans="1:33" s="338" customFormat="1" ht="14.25">
      <c r="A41" s="359"/>
      <c r="B41" s="360"/>
      <c r="C41" s="354"/>
      <c r="E41" s="366"/>
      <c r="F41" s="356"/>
      <c r="G41" s="366">
        <f>$E$41</f>
        <v>0</v>
      </c>
      <c r="H41" s="356"/>
      <c r="I41" s="366">
        <f>$E$41</f>
        <v>0</v>
      </c>
      <c r="J41" s="356"/>
      <c r="K41" s="366">
        <f>$E$41</f>
        <v>0</v>
      </c>
      <c r="L41" s="356"/>
      <c r="M41" s="366">
        <f>$E$41</f>
        <v>0</v>
      </c>
      <c r="N41" s="356"/>
      <c r="O41" s="366">
        <f>$E$41</f>
        <v>0</v>
      </c>
      <c r="P41" s="356"/>
      <c r="Q41" s="366">
        <f>$E$41</f>
        <v>0</v>
      </c>
      <c r="R41" s="356"/>
      <c r="S41" s="366">
        <f>$E$41</f>
        <v>0</v>
      </c>
      <c r="T41" s="356"/>
      <c r="U41" s="366">
        <f>$E$41</f>
        <v>0</v>
      </c>
      <c r="V41" s="356"/>
      <c r="W41" s="366">
        <f>$E$41</f>
        <v>0</v>
      </c>
      <c r="X41" s="356"/>
      <c r="Y41" s="366">
        <f>$E$41</f>
        <v>0</v>
      </c>
      <c r="Z41" s="356"/>
      <c r="AA41" s="366">
        <f>$E$41</f>
        <v>0</v>
      </c>
      <c r="AB41" s="356"/>
      <c r="AC41" s="366">
        <f>$E$41</f>
        <v>0</v>
      </c>
      <c r="AD41" s="356"/>
      <c r="AE41" s="366">
        <f>$E$41</f>
        <v>0</v>
      </c>
      <c r="AF41" s="356"/>
      <c r="AG41" s="366">
        <f>$E$41</f>
        <v>0</v>
      </c>
    </row>
    <row r="42" spans="1:33" s="357" customFormat="1" ht="15">
      <c r="A42" s="357" t="s">
        <v>910</v>
      </c>
      <c r="C42" s="358"/>
      <c r="E42" s="357">
        <f>SUM(E39:E41)</f>
        <v>249480.66680000001</v>
      </c>
      <c r="G42" s="357">
        <f>SUM(G39:G41)</f>
        <v>249480.66680000001</v>
      </c>
      <c r="I42" s="357">
        <f>SUM(I39:I41)</f>
        <v>249480.66680000001</v>
      </c>
      <c r="K42" s="357">
        <f>SUM(K39:K41)</f>
        <v>249480.66680000001</v>
      </c>
      <c r="M42" s="357">
        <f>SUM(M39:M41)</f>
        <v>249480.66680000001</v>
      </c>
      <c r="O42" s="357">
        <f>SUM(O39:O41)</f>
        <v>249480.66680000001</v>
      </c>
      <c r="Q42" s="357">
        <f>SUM(Q39:Q41)</f>
        <v>249480.66680000001</v>
      </c>
      <c r="S42" s="357">
        <f>SUM(S39:S41)</f>
        <v>249480.66680000001</v>
      </c>
      <c r="U42" s="357">
        <f>SUM(U39:U41)</f>
        <v>249480.66680000001</v>
      </c>
      <c r="W42" s="357">
        <f>SUM(W39:W41)</f>
        <v>249480.66680000001</v>
      </c>
      <c r="Y42" s="357">
        <f>SUM(Y39:Y41)</f>
        <v>249480.66680000001</v>
      </c>
      <c r="AA42" s="357">
        <f>SUM(AA39:AA41)</f>
        <v>249480.66680000001</v>
      </c>
      <c r="AC42" s="357">
        <f>SUM(AC39:AC41)</f>
        <v>249480.66680000001</v>
      </c>
      <c r="AE42" s="357">
        <f>SUM(AE39:AE41)</f>
        <v>249480.66680000001</v>
      </c>
      <c r="AG42" s="357">
        <f>SUM(AG39:AG41)</f>
        <v>249480.66680000001</v>
      </c>
    </row>
    <row r="43" spans="1:33" s="338" customFormat="1" ht="14.25">
      <c r="C43" s="354"/>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row>
    <row r="44" spans="1:33" s="357" customFormat="1" ht="15">
      <c r="A44" s="357" t="s">
        <v>911</v>
      </c>
      <c r="C44" s="358"/>
      <c r="E44" s="357">
        <f>E36-E42</f>
        <v>50700.133199999924</v>
      </c>
      <c r="G44" s="357">
        <f>G36-G42</f>
        <v>55112.493199999735</v>
      </c>
      <c r="I44" s="357">
        <f>I36-I42</f>
        <v>59492.186600000015</v>
      </c>
      <c r="K44" s="357">
        <f>K36-K42</f>
        <v>63833.388838999905</v>
      </c>
      <c r="M44" s="357">
        <f>M36-M42</f>
        <v>68129.954390614934</v>
      </c>
      <c r="O44" s="357">
        <f>O36-O42</f>
        <v>72375.402600142639</v>
      </c>
      <c r="Q44" s="357">
        <f>Q36-Q42</f>
        <v>76562.902952670236</v>
      </c>
      <c r="S44" s="357">
        <f>S36-S42</f>
        <v>80685.259750473895</v>
      </c>
      <c r="U44" s="357">
        <f>U36-U42</f>
        <v>84734.896177158458</v>
      </c>
      <c r="W44" s="357">
        <f>W36-W42</f>
        <v>88703.837725149817</v>
      </c>
      <c r="Y44" s="357">
        <f>Y36-Y42</f>
        <v>92583.694962281501</v>
      </c>
      <c r="AA44" s="357">
        <f>AA36-AA42</f>
        <v>96365.64561232517</v>
      </c>
      <c r="AC44" s="357">
        <f>AC36-AC42</f>
        <v>100040.41592337552</v>
      </c>
      <c r="AE44" s="357">
        <f>AE36-AE42</f>
        <v>103598.26129704562</v>
      </c>
      <c r="AG44" s="357">
        <f>AG36-AG42</f>
        <v>107028.94615041604</v>
      </c>
    </row>
    <row r="45" spans="1:33" s="338" customFormat="1" ht="14.25">
      <c r="C45" s="354"/>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row>
    <row r="46" spans="1:33" s="361" customFormat="1" ht="14.25">
      <c r="A46" s="361" t="s">
        <v>913</v>
      </c>
      <c r="C46" s="354"/>
      <c r="E46" s="361">
        <f>E44/(E4+E6+E8)</f>
        <v>6.410078741352096E-2</v>
      </c>
      <c r="G46" s="361">
        <f>G44/(G4+G6+G8)</f>
        <v>6.7979889914810965E-2</v>
      </c>
      <c r="I46" s="361">
        <f>I44/(I4+I6+I8)</f>
        <v>7.159232469917591E-2</v>
      </c>
      <c r="K46" s="361">
        <f>K44/(K4+K6+K8)</f>
        <v>7.4942912864762359E-2</v>
      </c>
      <c r="M46" s="361">
        <f>M44/(M4+M6+M8)</f>
        <v>7.8036341523996022E-2</v>
      </c>
      <c r="O46" s="361">
        <f>O44/(O4+O6+O8)</f>
        <v>8.0877166911438841E-2</v>
      </c>
      <c r="Q46" s="361">
        <f>Q44/(Q4+Q6+Q8)</f>
        <v>8.3469817414286995E-2</v>
      </c>
      <c r="S46" s="361">
        <f>S44/(S4+S6+S8)</f>
        <v>8.5818596527376348E-2</v>
      </c>
      <c r="U46" s="361">
        <f>U44/(U4+U6+U8)</f>
        <v>8.7927685734522518E-2</v>
      </c>
      <c r="W46" s="361">
        <f>W44/(W4+W6+W8)</f>
        <v>8.9801147317978169E-2</v>
      </c>
      <c r="Y46" s="361">
        <f>Y44/(Y4+Y6+Y8)</f>
        <v>9.1442927097742141E-2</v>
      </c>
      <c r="AA46" s="361">
        <f>AA44/(AA4+AA6+AA8)</f>
        <v>9.2856857102419213E-2</v>
      </c>
      <c r="AC46" s="361">
        <f>AC44/(AC4+AC6+AC8)</f>
        <v>9.4046658173279341E-2</v>
      </c>
      <c r="AE46" s="361">
        <f>AE44/(AE4+AE6+AE8)</f>
        <v>9.5015942503135345E-2</v>
      </c>
      <c r="AG46" s="361">
        <f>AG44/(AG4+AG6+AG8)</f>
        <v>9.5768216111605617E-2</v>
      </c>
    </row>
    <row r="47" spans="1:33" s="361" customFormat="1" ht="14.25">
      <c r="A47" s="361" t="s">
        <v>914</v>
      </c>
      <c r="C47" s="354"/>
      <c r="E47" s="361">
        <f>E44/E42</f>
        <v>0.20322269396788353</v>
      </c>
      <c r="G47" s="361">
        <f>G44/G42</f>
        <v>0.2209088740498738</v>
      </c>
      <c r="I47" s="361">
        <f>I44/I42</f>
        <v>0.23846411572922738</v>
      </c>
      <c r="K47" s="361">
        <f>K44/K42</f>
        <v>0.25586507226298588</v>
      </c>
      <c r="M47" s="361">
        <f>M44/M42</f>
        <v>0.27308711037409705</v>
      </c>
      <c r="O47" s="361">
        <f>O44/O42</f>
        <v>0.29010425348174768</v>
      </c>
      <c r="Q47" s="361">
        <f>Q44/Q42</f>
        <v>0.30688912265112733</v>
      </c>
      <c r="S47" s="361">
        <f>S44/S42</f>
        <v>0.32341287517543982</v>
      </c>
      <c r="U47" s="361">
        <f>U44/U42</f>
        <v>0.33964514069977009</v>
      </c>
      <c r="W47" s="361">
        <f>W44/W42</f>
        <v>0.35555395479306062</v>
      </c>
      <c r="Y47" s="361">
        <f>Y44/Y42</f>
        <v>0.3711056898709616</v>
      </c>
      <c r="AA47" s="361">
        <f>AA44/AA42</f>
        <v>0.38626498336874404</v>
      </c>
      <c r="AC47" s="361">
        <f>AC44/AC42</f>
        <v>0.40099466305970094</v>
      </c>
      <c r="AE47" s="361">
        <f>AE44/AE42</f>
        <v>0.41525566941063513</v>
      </c>
      <c r="AG47" s="361">
        <f>AG44/AG42</f>
        <v>0.4290069748619737</v>
      </c>
    </row>
    <row r="48" spans="1:33" s="362" customFormat="1" ht="14.25">
      <c r="A48" s="362" t="s">
        <v>912</v>
      </c>
      <c r="C48" s="363"/>
      <c r="E48" s="362">
        <f>E36/E42</f>
        <v>1.2032226939678836</v>
      </c>
      <c r="G48" s="362">
        <f>G36/G42</f>
        <v>1.2209088740498739</v>
      </c>
      <c r="I48" s="362">
        <f>I36/I42</f>
        <v>1.2384641157292273</v>
      </c>
      <c r="K48" s="362">
        <f>K36/K42</f>
        <v>1.2558650722629858</v>
      </c>
      <c r="M48" s="362">
        <f>M36/M42</f>
        <v>1.2730871103740971</v>
      </c>
      <c r="O48" s="362">
        <f>O36/O42</f>
        <v>1.2901042534817477</v>
      </c>
      <c r="Q48" s="362">
        <f>Q36/Q42</f>
        <v>1.3068891226511274</v>
      </c>
      <c r="S48" s="362">
        <f>S36/S42</f>
        <v>1.3234128751754399</v>
      </c>
      <c r="U48" s="362">
        <f>U36/U42</f>
        <v>1.33964514069977</v>
      </c>
      <c r="W48" s="362">
        <f>W36/W42</f>
        <v>1.3555539547930606</v>
      </c>
      <c r="Y48" s="362">
        <f>Y36/Y42</f>
        <v>1.3711056898709615</v>
      </c>
      <c r="AA48" s="362">
        <f>AA36/AA42</f>
        <v>1.3862649833687439</v>
      </c>
      <c r="AC48" s="362">
        <f>AC36/AC42</f>
        <v>1.400994663059701</v>
      </c>
      <c r="AE48" s="362">
        <f>AE36/AE42</f>
        <v>1.4152556694106351</v>
      </c>
      <c r="AG48" s="362">
        <f>AG36/AG42</f>
        <v>1.4290069748619738</v>
      </c>
    </row>
    <row r="49" spans="1:35" s="338" customFormat="1" ht="14.25">
      <c r="A49" s="364"/>
      <c r="B49" s="364"/>
      <c r="C49" s="365"/>
      <c r="D49" s="364"/>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66" t="s">
        <v>1382</v>
      </c>
      <c r="B51" s="3366"/>
      <c r="C51" s="3366"/>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916</v>
      </c>
      <c r="C52" s="1676"/>
      <c r="E52" s="1677"/>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c r="A53" s="6" t="s">
        <v>917</v>
      </c>
      <c r="C53" s="1671"/>
      <c r="E53" s="1678"/>
      <c r="F53" s="1673"/>
      <c r="G53" s="1673">
        <f t="shared" ref="G53:AG56" si="1">E53*$C$52</f>
        <v>0</v>
      </c>
      <c r="H53" s="1673"/>
      <c r="I53" s="1673">
        <f t="shared" si="1"/>
        <v>0</v>
      </c>
      <c r="J53" s="1673"/>
      <c r="K53" s="1673">
        <f t="shared" si="1"/>
        <v>0</v>
      </c>
      <c r="L53" s="1673"/>
      <c r="M53" s="1673">
        <f t="shared" si="1"/>
        <v>0</v>
      </c>
      <c r="N53" s="1673"/>
      <c r="O53" s="1673">
        <f t="shared" si="1"/>
        <v>0</v>
      </c>
      <c r="P53" s="1673"/>
      <c r="Q53" s="1673">
        <f t="shared" si="1"/>
        <v>0</v>
      </c>
      <c r="R53" s="1673"/>
      <c r="S53" s="1673">
        <f t="shared" si="1"/>
        <v>0</v>
      </c>
      <c r="T53" s="1673"/>
      <c r="U53" s="1673">
        <f t="shared" si="1"/>
        <v>0</v>
      </c>
      <c r="V53" s="1673"/>
      <c r="W53" s="1673">
        <f t="shared" si="1"/>
        <v>0</v>
      </c>
      <c r="X53" s="1673"/>
      <c r="Y53" s="1673">
        <f t="shared" si="1"/>
        <v>0</v>
      </c>
      <c r="Z53" s="1673"/>
      <c r="AA53" s="1673">
        <f t="shared" si="1"/>
        <v>0</v>
      </c>
      <c r="AB53" s="1673"/>
      <c r="AC53" s="1673">
        <f t="shared" si="1"/>
        <v>0</v>
      </c>
      <c r="AD53" s="1673"/>
      <c r="AE53" s="1673">
        <f t="shared" si="1"/>
        <v>0</v>
      </c>
      <c r="AF53" s="1673"/>
      <c r="AG53" s="1673">
        <f t="shared" si="1"/>
        <v>0</v>
      </c>
      <c r="AH53" s="1673"/>
      <c r="AI53" s="1673"/>
    </row>
    <row r="54" spans="1:35" s="6" customFormat="1">
      <c r="A54" s="6" t="s">
        <v>918</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v>0</v>
      </c>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915</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f>E44-E57</f>
        <v>50700.133199999924</v>
      </c>
      <c r="G59" s="1675">
        <f>G44-G57</f>
        <v>55112.493199999735</v>
      </c>
      <c r="I59" s="1675">
        <f>I44-I57</f>
        <v>59492.186600000015</v>
      </c>
      <c r="K59" s="1675">
        <f>K44-K57</f>
        <v>63833.388838999905</v>
      </c>
      <c r="M59" s="1675">
        <f>M44-M57</f>
        <v>68129.954390614934</v>
      </c>
      <c r="O59" s="1675">
        <f>O44-O57</f>
        <v>72375.402600142639</v>
      </c>
      <c r="Q59" s="1675">
        <f>Q44-Q57</f>
        <v>76562.902952670236</v>
      </c>
      <c r="S59" s="1675">
        <f>S44-S57</f>
        <v>80685.259750473895</v>
      </c>
      <c r="U59" s="1675">
        <f>U44-U57</f>
        <v>84734.896177158458</v>
      </c>
      <c r="W59" s="1675">
        <f>W44-W57</f>
        <v>88703.837725149817</v>
      </c>
      <c r="Y59" s="1675">
        <f>Y44-Y57</f>
        <v>92583.694962281501</v>
      </c>
      <c r="AA59" s="1675">
        <f>AA44-AA57</f>
        <v>96365.64561232517</v>
      </c>
      <c r="AC59" s="1675">
        <f>AC44-AC57</f>
        <v>100040.41592337552</v>
      </c>
      <c r="AE59" s="1675">
        <f>AE44-AE57</f>
        <v>103598.26129704562</v>
      </c>
      <c r="AG59" s="1675">
        <f>AG44-AG57</f>
        <v>107028.94615041604</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0</v>
      </c>
      <c r="E61" s="1677">
        <f>E59*$C$61</f>
        <v>0</v>
      </c>
      <c r="G61" s="1683">
        <f>G59*$C$61</f>
        <v>0</v>
      </c>
      <c r="H61" s="1683"/>
      <c r="I61" s="1683">
        <f>I59*$C$61</f>
        <v>0</v>
      </c>
      <c r="J61" s="1683"/>
      <c r="K61" s="1683">
        <f>K59*$C$61</f>
        <v>0</v>
      </c>
      <c r="L61" s="1683"/>
      <c r="M61" s="1683">
        <f>M59*$C$61</f>
        <v>0</v>
      </c>
      <c r="N61" s="1683"/>
      <c r="O61" s="1683">
        <f>O59*$C$61</f>
        <v>0</v>
      </c>
      <c r="P61" s="1683"/>
      <c r="Q61" s="1683">
        <f>Q59*$C$61</f>
        <v>0</v>
      </c>
      <c r="R61" s="1683"/>
      <c r="S61" s="1683">
        <f>S59*$C$61</f>
        <v>0</v>
      </c>
      <c r="T61" s="1683"/>
      <c r="U61" s="1683">
        <f>U59*$C$61</f>
        <v>0</v>
      </c>
      <c r="V61" s="1683"/>
      <c r="W61" s="1683">
        <f>W59*$C$61</f>
        <v>0</v>
      </c>
      <c r="Y61" s="1683">
        <f>Y59*$C$61</f>
        <v>0</v>
      </c>
      <c r="AA61" s="1683">
        <f>AA59*$C$61</f>
        <v>0</v>
      </c>
      <c r="AC61" s="1683">
        <f>AC59*$C$61</f>
        <v>0</v>
      </c>
      <c r="AE61" s="1683">
        <f>AE59*$C$61</f>
        <v>0</v>
      </c>
      <c r="AG61" s="1683">
        <f>AG59*$C$61</f>
        <v>0</v>
      </c>
    </row>
    <row r="62" spans="1:35" s="1683" customFormat="1">
      <c r="A62" s="3366" t="s">
        <v>1382</v>
      </c>
      <c r="B62" s="3366"/>
      <c r="C62" s="3366"/>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923</v>
      </c>
      <c r="C64" s="1672">
        <v>0</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c r="C65" s="1676"/>
      <c r="E65" s="1677">
        <f>$E59*$C$64</f>
        <v>0</v>
      </c>
      <c r="G65" s="1673">
        <f>G59*$C$64</f>
        <v>0</v>
      </c>
      <c r="I65" s="1673">
        <f>I59*$C$64</f>
        <v>0</v>
      </c>
      <c r="K65" s="1673">
        <f>K59*$C$64</f>
        <v>0</v>
      </c>
      <c r="M65" s="1673">
        <f>M59*$C$64</f>
        <v>0</v>
      </c>
      <c r="O65" s="1673">
        <f>O59*$C$64</f>
        <v>0</v>
      </c>
      <c r="Q65" s="1673">
        <f>Q59*$C$64</f>
        <v>0</v>
      </c>
      <c r="S65" s="1673">
        <f>S59*$C$64</f>
        <v>0</v>
      </c>
      <c r="U65" s="1673">
        <f>U59*$C$64</f>
        <v>0</v>
      </c>
      <c r="W65" s="1673">
        <f>W59*$C$64</f>
        <v>0</v>
      </c>
      <c r="Y65" s="1673">
        <f>Y59*$C$64</f>
        <v>0</v>
      </c>
      <c r="AA65" s="1673">
        <f>AA59*$C$64</f>
        <v>0</v>
      </c>
      <c r="AC65" s="1673">
        <f>AC59*$C$64</f>
        <v>0</v>
      </c>
      <c r="AE65" s="1673">
        <f>AE59*$C$64</f>
        <v>0</v>
      </c>
      <c r="AG65" s="1673">
        <f>AG59*$C$64</f>
        <v>0</v>
      </c>
    </row>
    <row r="66" spans="1:33" s="1673" customFormat="1">
      <c r="A66" s="1678"/>
      <c r="B66" s="1678"/>
      <c r="C66" s="1684"/>
      <c r="E66" s="1677">
        <f>$E59*$C$64</f>
        <v>0</v>
      </c>
      <c r="G66" s="1673">
        <f>G59*$C$64</f>
        <v>0</v>
      </c>
      <c r="I66" s="1673">
        <f>I59*$C$64</f>
        <v>0</v>
      </c>
      <c r="K66" s="1673">
        <f>K59*$C$64</f>
        <v>0</v>
      </c>
      <c r="M66" s="1673">
        <f>M59*$C$64</f>
        <v>0</v>
      </c>
      <c r="O66" s="1673">
        <f>O59*$C$64</f>
        <v>0</v>
      </c>
      <c r="Q66" s="1673">
        <f>Q59*$C$64</f>
        <v>0</v>
      </c>
      <c r="S66" s="1673">
        <f>S59*$C$64</f>
        <v>0</v>
      </c>
      <c r="U66" s="1673">
        <f>U59*$C$64</f>
        <v>0</v>
      </c>
      <c r="W66" s="1673">
        <f>W59*$C$64</f>
        <v>0</v>
      </c>
      <c r="Y66" s="1673">
        <f>Y59*$C$64</f>
        <v>0</v>
      </c>
      <c r="AA66" s="1673">
        <f>AA59*$C$64</f>
        <v>0</v>
      </c>
      <c r="AC66" s="1673">
        <f>AC59*$C$64</f>
        <v>0</v>
      </c>
      <c r="AE66" s="1673">
        <f>AE59*$C$64</f>
        <v>0</v>
      </c>
      <c r="AG66" s="1673">
        <f>AG59*$C$64</f>
        <v>0</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915</v>
      </c>
      <c r="C69" s="1684"/>
      <c r="E69" s="1685">
        <f>SUM(E65:E68)</f>
        <v>0</v>
      </c>
      <c r="G69" s="1685">
        <f>SUM(G65:G68)</f>
        <v>0</v>
      </c>
      <c r="I69" s="1685">
        <f>SUM(I65:I68)</f>
        <v>0</v>
      </c>
      <c r="K69" s="1685">
        <f>SUM(K65:K68)</f>
        <v>0</v>
      </c>
      <c r="M69" s="1685">
        <f>SUM(M65:M68)</f>
        <v>0</v>
      </c>
      <c r="O69" s="1685">
        <f>SUM(O65:O68)</f>
        <v>0</v>
      </c>
      <c r="Q69" s="1685">
        <f>SUM(Q65:Q68)</f>
        <v>0</v>
      </c>
      <c r="S69" s="1685">
        <f>SUM(S65:S68)</f>
        <v>0</v>
      </c>
      <c r="U69" s="1685">
        <f>SUM(U65:U68)</f>
        <v>0</v>
      </c>
      <c r="W69" s="1685">
        <f>SUM(W65:W68)</f>
        <v>0</v>
      </c>
      <c r="Y69" s="1685">
        <f>SUM(Y65:Y68)</f>
        <v>0</v>
      </c>
      <c r="AA69" s="1685">
        <f>SUM(AA65:AA68)</f>
        <v>0</v>
      </c>
      <c r="AC69" s="1685">
        <f>SUM(AC65:AC68)</f>
        <v>0</v>
      </c>
      <c r="AE69" s="1685">
        <f>SUM(AE65:AE68)</f>
        <v>0</v>
      </c>
      <c r="AG69" s="1685">
        <f>SUM(AG65:AG68)</f>
        <v>0</v>
      </c>
    </row>
    <row r="70" spans="1:33" s="1685" customFormat="1">
      <c r="A70" s="1675"/>
      <c r="C70" s="1684"/>
    </row>
    <row r="71" spans="1:33" s="1685" customFormat="1">
      <c r="A71" s="1675" t="s">
        <v>2219</v>
      </c>
      <c r="C71" s="1684"/>
      <c r="E71" s="1675">
        <f>E59-E61-E69</f>
        <v>50700.133199999924</v>
      </c>
      <c r="G71" s="1675">
        <f>G59-G61-G69</f>
        <v>55112.493199999735</v>
      </c>
      <c r="I71" s="1675">
        <f>I59-I61-I69</f>
        <v>59492.186600000015</v>
      </c>
      <c r="K71" s="1675">
        <f>K59-K61-K69</f>
        <v>63833.388838999905</v>
      </c>
      <c r="M71" s="1675">
        <f>M59-M61-M69</f>
        <v>68129.954390614934</v>
      </c>
      <c r="O71" s="1675">
        <f>O59-O61-O69</f>
        <v>72375.402600142639</v>
      </c>
      <c r="Q71" s="1675">
        <f>Q59-Q61-Q69</f>
        <v>76562.902952670236</v>
      </c>
      <c r="S71" s="1675">
        <f>S59-S61-S69</f>
        <v>80685.259750473895</v>
      </c>
      <c r="U71" s="1675">
        <f>U59-U61-U69</f>
        <v>84734.896177158458</v>
      </c>
      <c r="W71" s="1675">
        <f>W59-W61-W69</f>
        <v>88703.837725149817</v>
      </c>
      <c r="Y71" s="1675">
        <f>Y59-Y61-Y69</f>
        <v>92583.694962281501</v>
      </c>
      <c r="AA71" s="1675">
        <f>AA59-AA61-AA69</f>
        <v>96365.64561232517</v>
      </c>
      <c r="AC71" s="1675">
        <f>AC59-AC61-AC69</f>
        <v>100040.41592337552</v>
      </c>
      <c r="AE71" s="1675">
        <f>AE59-AE61-AE69</f>
        <v>103598.26129704562</v>
      </c>
      <c r="AG71" s="1675">
        <f>AG59-AG61-AG69</f>
        <v>107028.94615041604</v>
      </c>
    </row>
    <row r="72" spans="1:33" s="1673" customFormat="1">
      <c r="A72" s="914"/>
      <c r="C72" s="1686"/>
    </row>
    <row r="73" spans="1:33" s="350" customFormat="1">
      <c r="A73" s="914"/>
      <c r="C73" s="351"/>
    </row>
    <row r="74" spans="1:33" s="350" customFormat="1">
      <c r="A74" s="1673" t="s">
        <v>2218</v>
      </c>
      <c r="C74" s="351"/>
    </row>
    <row r="75" spans="1:33" s="350" customFormat="1">
      <c r="C75" s="351"/>
    </row>
    <row r="76" spans="1:33" s="369" customFormat="1" ht="30" customHeight="1">
      <c r="A76" s="3364" t="s">
        <v>2217</v>
      </c>
      <c r="B76" s="3365"/>
      <c r="C76" s="3365"/>
      <c r="D76" s="3365"/>
      <c r="E76" s="3365"/>
      <c r="F76" s="3365"/>
      <c r="G76" s="3365"/>
      <c r="H76" s="3365"/>
      <c r="I76" s="3365"/>
      <c r="J76" s="3365"/>
      <c r="K76" s="3365"/>
      <c r="L76" s="3365"/>
      <c r="M76" s="3365"/>
      <c r="N76" s="3365"/>
      <c r="O76" s="3365"/>
      <c r="P76" s="3365"/>
      <c r="Q76" s="3365"/>
      <c r="R76" s="3365"/>
      <c r="S76" s="3365"/>
      <c r="T76" s="3365"/>
      <c r="U76" s="3365"/>
      <c r="V76" s="3365"/>
      <c r="W76" s="3365"/>
      <c r="X76" s="3365"/>
      <c r="Y76" s="3365"/>
      <c r="Z76" s="3365"/>
      <c r="AA76" s="3365"/>
      <c r="AB76" s="3365"/>
      <c r="AC76" s="3365"/>
      <c r="AD76" s="3365"/>
      <c r="AE76" s="3365"/>
      <c r="AF76" s="3365"/>
      <c r="AG76" s="3365"/>
    </row>
    <row r="77" spans="1:33" s="347" customFormat="1" hidden="1">
      <c r="C77" s="349"/>
    </row>
    <row r="78" spans="1:33" s="347" customFormat="1" hidden="1">
      <c r="C78" s="349"/>
    </row>
    <row r="79" spans="1:33" s="347" customFormat="1" hidden="1">
      <c r="C79" s="349"/>
    </row>
    <row r="80" spans="1:33" s="347" customFormat="1" hidden="1">
      <c r="C80" s="349"/>
    </row>
    <row r="81" spans="3:3" s="347" customFormat="1" hidden="1">
      <c r="C81" s="349"/>
    </row>
    <row r="82" spans="3:3" s="347" customFormat="1" hidden="1">
      <c r="C82" s="349"/>
    </row>
    <row r="83" spans="3:3" s="347" customFormat="1" hidden="1">
      <c r="C83" s="349"/>
    </row>
    <row r="84" spans="3:3" s="347" customFormat="1" hidden="1">
      <c r="C84" s="349"/>
    </row>
    <row r="85" spans="3:3" s="347" customFormat="1" hidden="1">
      <c r="C85" s="349"/>
    </row>
    <row r="86" spans="3:3" s="347" customFormat="1" hidden="1">
      <c r="C86" s="349"/>
    </row>
    <row r="87" spans="3:3" s="347" customFormat="1" hidden="1">
      <c r="C87" s="349"/>
    </row>
    <row r="88" spans="3:3" s="347" customFormat="1" hidden="1">
      <c r="C88" s="349"/>
    </row>
    <row r="89" spans="3:3" s="347" customFormat="1" hidden="1">
      <c r="C89" s="349"/>
    </row>
    <row r="90" spans="3:3" s="347" customFormat="1" hidden="1">
      <c r="C90" s="349"/>
    </row>
    <row r="91" spans="3:3" s="347" customFormat="1" hidden="1">
      <c r="C91" s="349"/>
    </row>
    <row r="92" spans="3:3" s="347" customFormat="1" hidden="1">
      <c r="C92" s="349"/>
    </row>
    <row r="93" spans="3:3" s="347" customFormat="1" hidden="1">
      <c r="C93" s="349"/>
    </row>
    <row r="94" spans="3:3" s="347" customFormat="1" hidden="1">
      <c r="C94" s="349"/>
    </row>
    <row r="95" spans="3:3" s="347" customFormat="1" hidden="1">
      <c r="C95" s="349"/>
    </row>
    <row r="96" spans="3:3" s="347" customFormat="1" hidden="1">
      <c r="C96" s="349"/>
    </row>
    <row r="97" spans="3:3" s="347" customFormat="1" hidden="1">
      <c r="C97" s="349"/>
    </row>
    <row r="98" spans="3:3" s="347" customFormat="1" hidden="1">
      <c r="C98" s="349"/>
    </row>
    <row r="99" spans="3:3" s="347" customFormat="1" hidden="1">
      <c r="C99" s="349"/>
    </row>
    <row r="100" spans="3:3" s="347" customFormat="1" hidden="1">
      <c r="C100" s="349"/>
    </row>
    <row r="101" spans="3:3" s="347" customFormat="1" hidden="1">
      <c r="C101" s="349"/>
    </row>
    <row r="102" spans="3:3" s="347" customFormat="1" hidden="1">
      <c r="C102" s="349"/>
    </row>
    <row r="103" spans="3:3" s="347" customFormat="1" hidden="1">
      <c r="C103" s="349"/>
    </row>
    <row r="104" spans="3:3" s="347" customFormat="1" hidden="1">
      <c r="C104" s="349"/>
    </row>
    <row r="105" spans="3:3" s="347" customFormat="1" hidden="1">
      <c r="C105" s="349"/>
    </row>
    <row r="106" spans="3:3" s="347" customFormat="1" hidden="1">
      <c r="C106" s="349"/>
    </row>
    <row r="107" spans="3:3" s="347" customFormat="1" hidden="1">
      <c r="C107" s="349"/>
    </row>
    <row r="108" spans="3:3" s="347" customFormat="1" hidden="1">
      <c r="C108" s="349"/>
    </row>
    <row r="109" spans="3:3" s="347" customFormat="1" hidden="1">
      <c r="C109" s="349"/>
    </row>
    <row r="110" spans="3:3" s="347" customFormat="1" hidden="1">
      <c r="C110" s="349"/>
    </row>
    <row r="111" spans="3:3" s="347" customFormat="1" hidden="1">
      <c r="C111" s="349"/>
    </row>
    <row r="112" spans="3:3" s="347" customFormat="1" hidden="1">
      <c r="C112" s="349"/>
    </row>
    <row r="113" spans="3:3" s="347" customFormat="1" hidden="1">
      <c r="C113" s="349"/>
    </row>
    <row r="114" spans="3:3" s="347" customFormat="1" hidden="1">
      <c r="C114" s="349"/>
    </row>
    <row r="115" spans="3:3" s="347" customFormat="1" hidden="1">
      <c r="C115" s="349"/>
    </row>
    <row r="116" spans="3:3" s="347" customFormat="1" hidden="1">
      <c r="C116" s="349"/>
    </row>
    <row r="117" spans="3:3" s="347" customFormat="1" hidden="1">
      <c r="C117" s="349"/>
    </row>
    <row r="118" spans="3:3" s="347" customFormat="1" hidden="1">
      <c r="C118" s="349"/>
    </row>
    <row r="119" spans="3:3" s="347" customFormat="1" hidden="1">
      <c r="C119" s="349"/>
    </row>
    <row r="120" spans="3:3" s="347" customFormat="1" hidden="1">
      <c r="C120" s="349"/>
    </row>
    <row r="121" spans="3:3" s="347" customFormat="1" hidden="1">
      <c r="C121" s="349"/>
    </row>
    <row r="122" spans="3:3" s="347" customFormat="1" hidden="1">
      <c r="C122" s="349"/>
    </row>
    <row r="123" spans="3:3" s="347" customFormat="1" hidden="1">
      <c r="C123" s="349"/>
    </row>
    <row r="124" spans="3:3" s="347" customFormat="1" hidden="1">
      <c r="C124" s="349"/>
    </row>
    <row r="125" spans="3:3" s="347" customFormat="1" hidden="1">
      <c r="C125" s="349"/>
    </row>
    <row r="126" spans="3:3" s="347" customFormat="1" hidden="1">
      <c r="C126" s="349"/>
    </row>
    <row r="127" spans="3:3" s="347" customFormat="1" hidden="1">
      <c r="C127" s="349"/>
    </row>
    <row r="128" spans="3:3" s="347" customFormat="1" hidden="1">
      <c r="C128" s="349"/>
    </row>
    <row r="129" spans="3:3" s="347" customFormat="1" hidden="1">
      <c r="C129" s="349"/>
    </row>
    <row r="130" spans="3:3" s="347" customFormat="1" hidden="1">
      <c r="C130" s="349"/>
    </row>
    <row r="131" spans="3:3" s="347" customFormat="1" hidden="1">
      <c r="C131" s="349"/>
    </row>
    <row r="132" spans="3:3" s="347" customFormat="1" hidden="1">
      <c r="C132" s="349"/>
    </row>
    <row r="133" spans="3:3" s="347" customFormat="1" hidden="1">
      <c r="C133" s="349"/>
    </row>
    <row r="134" spans="3:3" s="347" customFormat="1" hidden="1">
      <c r="C134" s="349"/>
    </row>
    <row r="135" spans="3:3" s="347" customFormat="1" hidden="1">
      <c r="C135" s="349"/>
    </row>
    <row r="136" spans="3:3" s="347" customFormat="1" hidden="1">
      <c r="C136" s="349"/>
    </row>
    <row r="137" spans="3:3" s="347" customFormat="1" hidden="1">
      <c r="C137" s="349"/>
    </row>
    <row r="138" spans="3:3" s="347" customFormat="1" hidden="1">
      <c r="C138" s="349"/>
    </row>
    <row r="139" spans="3:3" s="347" customFormat="1" hidden="1">
      <c r="C139" s="349"/>
    </row>
    <row r="140" spans="3:3" s="347" customFormat="1" hidden="1">
      <c r="C140" s="349"/>
    </row>
    <row r="141" spans="3:3" s="347" customFormat="1" hidden="1">
      <c r="C141" s="349"/>
    </row>
    <row r="142" spans="3:3" s="347" customFormat="1" hidden="1">
      <c r="C142" s="349"/>
    </row>
    <row r="143" spans="3:3" s="347" customFormat="1" hidden="1">
      <c r="C143" s="349"/>
    </row>
    <row r="144" spans="3:3" s="347" customFormat="1" hidden="1">
      <c r="C144" s="349"/>
    </row>
    <row r="145" spans="3:3" s="347" customFormat="1" hidden="1">
      <c r="C145" s="349"/>
    </row>
    <row r="146" spans="3:3" s="347" customFormat="1" hidden="1">
      <c r="C146" s="349"/>
    </row>
    <row r="147" spans="3:3" s="347" customFormat="1" hidden="1">
      <c r="C147" s="349"/>
    </row>
    <row r="148" spans="3:3" s="347" customFormat="1" hidden="1">
      <c r="C148" s="349"/>
    </row>
    <row r="149" spans="3:3" s="347" customFormat="1" hidden="1">
      <c r="C149" s="349"/>
    </row>
    <row r="150" spans="3:3" s="347" customFormat="1" hidden="1">
      <c r="C150" s="349"/>
    </row>
    <row r="151" spans="3:3" s="347" customFormat="1" hidden="1">
      <c r="C151" s="349"/>
    </row>
    <row r="152" spans="3:3" s="347" customFormat="1" hidden="1">
      <c r="C152" s="349"/>
    </row>
    <row r="153" spans="3:3" s="347" customFormat="1" hidden="1">
      <c r="C153" s="349"/>
    </row>
    <row r="154" spans="3:3" s="347" customFormat="1" hidden="1">
      <c r="C154" s="349"/>
    </row>
    <row r="155" spans="3:3" s="347" customFormat="1" hidden="1">
      <c r="C155" s="349"/>
    </row>
    <row r="156" spans="3:3" s="347" customFormat="1" hidden="1">
      <c r="C156" s="349"/>
    </row>
    <row r="157" spans="3:3" s="347" customFormat="1" hidden="1">
      <c r="C157" s="349"/>
    </row>
    <row r="158" spans="3:3" s="347" customFormat="1" hidden="1">
      <c r="C158" s="349"/>
    </row>
    <row r="159" spans="3:3" s="347" customFormat="1" hidden="1">
      <c r="C159" s="349"/>
    </row>
    <row r="160" spans="3:3" s="347" customFormat="1" hidden="1">
      <c r="C160" s="349"/>
    </row>
    <row r="161" spans="3:3" s="347" customFormat="1" hidden="1">
      <c r="C161" s="349"/>
    </row>
    <row r="162" spans="3:3" s="347" customFormat="1" hidden="1">
      <c r="C162" s="349"/>
    </row>
    <row r="163" spans="3:3" s="347" customFormat="1" hidden="1">
      <c r="C163" s="349"/>
    </row>
    <row r="164" spans="3:3" s="347" customFormat="1" hidden="1">
      <c r="C164" s="349"/>
    </row>
    <row r="165" spans="3:3" s="347" customFormat="1" hidden="1">
      <c r="C165" s="349"/>
    </row>
    <row r="166" spans="3:3" s="347" customFormat="1" hidden="1">
      <c r="C166" s="349"/>
    </row>
    <row r="167" spans="3:3" s="347" customFormat="1" hidden="1">
      <c r="C167" s="349"/>
    </row>
    <row r="168" spans="3:3" s="347" customFormat="1" hidden="1">
      <c r="C168" s="349"/>
    </row>
    <row r="169" spans="3:3" s="347" customFormat="1" hidden="1">
      <c r="C169" s="349"/>
    </row>
    <row r="170" spans="3:3" s="347" customFormat="1" hidden="1">
      <c r="C170" s="349"/>
    </row>
    <row r="171" spans="3:3" s="347" customFormat="1" hidden="1">
      <c r="C171" s="349"/>
    </row>
    <row r="172" spans="3:3" s="347" customFormat="1" hidden="1">
      <c r="C172" s="349"/>
    </row>
    <row r="173" spans="3:3" s="347" customFormat="1" hidden="1">
      <c r="C173" s="349"/>
    </row>
    <row r="174" spans="3:3" s="347" customFormat="1" hidden="1">
      <c r="C174" s="349"/>
    </row>
    <row r="175" spans="3:3" s="347" customFormat="1" hidden="1">
      <c r="C175" s="349"/>
    </row>
    <row r="176" spans="3:3" s="347" customFormat="1" hidden="1">
      <c r="C176" s="349"/>
    </row>
    <row r="177" spans="3:3" s="347" customFormat="1" hidden="1">
      <c r="C177" s="349"/>
    </row>
    <row r="178" spans="3:3" s="347" customFormat="1" hidden="1">
      <c r="C178" s="349"/>
    </row>
    <row r="179" spans="3:3" s="347" customFormat="1" hidden="1">
      <c r="C179" s="349"/>
    </row>
    <row r="180" spans="3:3" s="347" customFormat="1" hidden="1">
      <c r="C180" s="349"/>
    </row>
    <row r="181" spans="3:3" s="347" customFormat="1" hidden="1">
      <c r="C181" s="349"/>
    </row>
    <row r="182" spans="3:3" s="347" customFormat="1" hidden="1">
      <c r="C182" s="349"/>
    </row>
    <row r="183" spans="3:3" s="347" customFormat="1" hidden="1">
      <c r="C183" s="349"/>
    </row>
    <row r="184" spans="3:3" s="347" customFormat="1" hidden="1">
      <c r="C184" s="349"/>
    </row>
    <row r="185" spans="3:3" s="347" customFormat="1" hidden="1">
      <c r="C185" s="349"/>
    </row>
    <row r="186" spans="3:3" s="347" customFormat="1" hidden="1">
      <c r="C186" s="349"/>
    </row>
    <row r="187" spans="3:3" s="347" customFormat="1" hidden="1">
      <c r="C187" s="349"/>
    </row>
    <row r="188" spans="3:3" s="347" customFormat="1" hidden="1">
      <c r="C188" s="349"/>
    </row>
    <row r="189" spans="3:3" s="347" customFormat="1" hidden="1">
      <c r="C189" s="349"/>
    </row>
    <row r="190" spans="3:3" s="347" customFormat="1" hidden="1">
      <c r="C190" s="349"/>
    </row>
    <row r="191" spans="3:3" s="347" customFormat="1" hidden="1">
      <c r="C191" s="349"/>
    </row>
    <row r="192" spans="3:3" s="347" customFormat="1" hidden="1">
      <c r="C192" s="349"/>
    </row>
    <row r="193" spans="3:3" s="347" customFormat="1" hidden="1">
      <c r="C193" s="349"/>
    </row>
    <row r="194" spans="3:3" s="347" customFormat="1" hidden="1">
      <c r="C194" s="349"/>
    </row>
    <row r="195" spans="3:3" s="347" customFormat="1" hidden="1">
      <c r="C195" s="349"/>
    </row>
    <row r="196" spans="3:3" s="347" customFormat="1" hidden="1">
      <c r="C196" s="349"/>
    </row>
    <row r="197" spans="3:3" s="347" customFormat="1" hidden="1">
      <c r="C197" s="349"/>
    </row>
    <row r="198" spans="3:3" s="347" customFormat="1" hidden="1">
      <c r="C198" s="349"/>
    </row>
    <row r="199" spans="3:3" s="347" customFormat="1" hidden="1">
      <c r="C199" s="349"/>
    </row>
    <row r="200" spans="3:3" s="347" customFormat="1" hidden="1">
      <c r="C200" s="349"/>
    </row>
    <row r="201" spans="3:3" s="347" customFormat="1" hidden="1">
      <c r="C201" s="349"/>
    </row>
    <row r="202" spans="3:3" s="347" customFormat="1" hidden="1">
      <c r="C202" s="349"/>
    </row>
    <row r="203" spans="3:3" s="347" customFormat="1" hidden="1">
      <c r="C203" s="349"/>
    </row>
    <row r="204" spans="3:3" s="347" customFormat="1" hidden="1">
      <c r="C204" s="349"/>
    </row>
    <row r="205" spans="3:3" s="347" customFormat="1" hidden="1">
      <c r="C205" s="349"/>
    </row>
    <row r="206" spans="3:3" s="347" customFormat="1" hidden="1">
      <c r="C206" s="349"/>
    </row>
    <row r="207" spans="3:3" s="347" customFormat="1" hidden="1">
      <c r="C207" s="349"/>
    </row>
    <row r="208" spans="3:3" s="347" customFormat="1" hidden="1">
      <c r="C208" s="349"/>
    </row>
    <row r="209" spans="3:3" s="347" customFormat="1" hidden="1">
      <c r="C209" s="349"/>
    </row>
    <row r="210" spans="3:3" s="347" customFormat="1" hidden="1">
      <c r="C210" s="349"/>
    </row>
    <row r="211" spans="3:3" s="347" customFormat="1" hidden="1">
      <c r="C211" s="349"/>
    </row>
    <row r="212" spans="3:3" s="347" customFormat="1" hidden="1">
      <c r="C212" s="349"/>
    </row>
    <row r="213" spans="3:3" s="347" customFormat="1" hidden="1">
      <c r="C213" s="349"/>
    </row>
    <row r="214" spans="3:3" s="347" customFormat="1" hidden="1">
      <c r="C214" s="349"/>
    </row>
    <row r="215" spans="3:3" s="347" customFormat="1" hidden="1">
      <c r="C215" s="349"/>
    </row>
    <row r="216" spans="3:3" s="347" customFormat="1" hidden="1">
      <c r="C216" s="34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5">
    <mergeCell ref="A76:AG76"/>
    <mergeCell ref="A51:C51"/>
    <mergeCell ref="A62:C62"/>
    <mergeCell ref="A31:B31"/>
    <mergeCell ref="A40:B40"/>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0" zoomScaleNormal="100" zoomScaleSheetLayoutView="100" workbookViewId="0">
      <selection activeCell="F15" sqref="F15"/>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69" t="s">
        <v>978</v>
      </c>
      <c r="B1" s="3369"/>
      <c r="C1" s="3369"/>
      <c r="D1" s="3369"/>
      <c r="E1" s="3369"/>
      <c r="F1" s="3369"/>
      <c r="G1" s="3369"/>
      <c r="H1" s="3369"/>
      <c r="I1" s="3369"/>
      <c r="J1" s="324"/>
      <c r="K1" s="324"/>
    </row>
    <row r="2" spans="1:11">
      <c r="A2" s="654"/>
      <c r="B2" s="654"/>
      <c r="C2" s="654"/>
      <c r="D2" s="654"/>
      <c r="E2" s="654"/>
      <c r="F2" s="654"/>
      <c r="G2" s="654"/>
      <c r="H2" s="654"/>
      <c r="I2" s="654"/>
    </row>
    <row r="3" spans="1:11" ht="99.75">
      <c r="A3" s="655" t="s">
        <v>979</v>
      </c>
      <c r="B3" s="655" t="s">
        <v>980</v>
      </c>
      <c r="C3" s="473" t="s">
        <v>981</v>
      </c>
      <c r="D3" s="382"/>
      <c r="E3" s="473" t="s">
        <v>982</v>
      </c>
      <c r="F3" s="655" t="s">
        <v>983</v>
      </c>
      <c r="G3" s="656"/>
      <c r="H3" s="655" t="s">
        <v>984</v>
      </c>
      <c r="I3" s="655" t="s">
        <v>985</v>
      </c>
      <c r="J3" s="324"/>
      <c r="K3" s="472"/>
    </row>
    <row r="4" spans="1:11">
      <c r="A4" s="657" t="str">
        <f>Application!B728</f>
        <v>1 Bedroom</v>
      </c>
      <c r="B4" s="666">
        <f>Application!G728</f>
        <v>5</v>
      </c>
      <c r="C4" s="657">
        <f>Application!O728</f>
        <v>364</v>
      </c>
      <c r="D4" s="658"/>
      <c r="E4" s="475">
        <v>1136</v>
      </c>
      <c r="F4" s="659">
        <f>E4*B4</f>
        <v>5680</v>
      </c>
      <c r="G4" s="660"/>
      <c r="H4" s="657">
        <f>IF(E4=0," ",(E4-C4))</f>
        <v>772</v>
      </c>
      <c r="I4" s="659">
        <f>IF(E4=0," ",(H4*B4))</f>
        <v>3860</v>
      </c>
      <c r="J4" s="324"/>
      <c r="K4" s="472"/>
    </row>
    <row r="5" spans="1:11">
      <c r="A5" s="657" t="str">
        <f>Application!B729</f>
        <v>2 Bedrooms</v>
      </c>
      <c r="B5" s="666">
        <f>Application!G729</f>
        <v>5</v>
      </c>
      <c r="C5" s="657">
        <f>Application!O729</f>
        <v>435</v>
      </c>
      <c r="D5" s="658"/>
      <c r="E5" s="475">
        <v>1431</v>
      </c>
      <c r="F5" s="659">
        <f t="shared" ref="F5:F28" si="0">E5*B5</f>
        <v>7155</v>
      </c>
      <c r="G5" s="660"/>
      <c r="H5" s="657">
        <f t="shared" ref="H5:H28" si="1">IF(E5=0," ",(E5-C5))</f>
        <v>996</v>
      </c>
      <c r="I5" s="659">
        <f t="shared" ref="I5:I28" si="2">IF(E5=0," ",(H5*B5))</f>
        <v>4980</v>
      </c>
      <c r="J5" s="324"/>
      <c r="K5" s="472"/>
    </row>
    <row r="6" spans="1:11">
      <c r="A6" s="657" t="str">
        <f>Application!B730</f>
        <v>3 Bedrooms</v>
      </c>
      <c r="B6" s="666">
        <f>Application!G730</f>
        <v>3</v>
      </c>
      <c r="C6" s="657">
        <f>Application!O730</f>
        <v>500</v>
      </c>
      <c r="D6" s="658"/>
      <c r="E6" s="475">
        <v>1992</v>
      </c>
      <c r="F6" s="659">
        <f t="shared" si="0"/>
        <v>5976</v>
      </c>
      <c r="G6" s="660"/>
      <c r="H6" s="657">
        <f t="shared" si="1"/>
        <v>1492</v>
      </c>
      <c r="I6" s="659">
        <f t="shared" si="2"/>
        <v>4476</v>
      </c>
      <c r="J6" s="324"/>
      <c r="K6" s="472"/>
    </row>
    <row r="7" spans="1:11">
      <c r="A7" s="657" t="str">
        <f>Application!B731</f>
        <v>1 Bedroom</v>
      </c>
      <c r="B7" s="666">
        <f>Application!G731</f>
        <v>3</v>
      </c>
      <c r="C7" s="657">
        <f>Application!O731</f>
        <v>660</v>
      </c>
      <c r="D7" s="658"/>
      <c r="E7" s="475">
        <v>1136</v>
      </c>
      <c r="F7" s="659">
        <f t="shared" si="0"/>
        <v>3408</v>
      </c>
      <c r="G7" s="660"/>
      <c r="H7" s="657">
        <f t="shared" si="1"/>
        <v>476</v>
      </c>
      <c r="I7" s="659">
        <f t="shared" si="2"/>
        <v>1428</v>
      </c>
      <c r="J7" s="324"/>
      <c r="K7" s="472"/>
    </row>
    <row r="8" spans="1:11">
      <c r="A8" s="657" t="str">
        <f>Application!B732</f>
        <v>2 Bedrooms</v>
      </c>
      <c r="B8" s="666">
        <f>Application!G732</f>
        <v>12</v>
      </c>
      <c r="C8" s="657">
        <f>Application!O732</f>
        <v>790</v>
      </c>
      <c r="D8" s="658"/>
      <c r="E8" s="475"/>
      <c r="F8" s="659">
        <f t="shared" si="0"/>
        <v>0</v>
      </c>
      <c r="G8" s="660"/>
      <c r="H8" s="657" t="str">
        <f t="shared" si="1"/>
        <v xml:space="preserve"> </v>
      </c>
      <c r="I8" s="659" t="str">
        <f t="shared" si="2"/>
        <v xml:space="preserve"> </v>
      </c>
      <c r="J8" s="324"/>
      <c r="K8" s="472"/>
    </row>
    <row r="9" spans="1:11">
      <c r="A9" s="657" t="str">
        <f>Application!B733</f>
        <v>3 Bedrooms</v>
      </c>
      <c r="B9" s="666">
        <f>Application!G733</f>
        <v>18</v>
      </c>
      <c r="C9" s="657">
        <f>Application!O733</f>
        <v>911</v>
      </c>
      <c r="D9" s="658"/>
      <c r="E9" s="475"/>
      <c r="F9" s="659">
        <f t="shared" si="0"/>
        <v>0</v>
      </c>
      <c r="G9" s="660"/>
      <c r="H9" s="657" t="str">
        <f t="shared" si="1"/>
        <v xml:space="preserve"> </v>
      </c>
      <c r="I9" s="659" t="str">
        <f t="shared" si="2"/>
        <v xml:space="preserve"> </v>
      </c>
      <c r="J9" s="324"/>
      <c r="K9" s="472"/>
    </row>
    <row r="10" spans="1:11">
      <c r="A10" s="657" t="str">
        <f>Application!B734</f>
        <v>1 Bedroom</v>
      </c>
      <c r="B10" s="666">
        <f>Application!G734</f>
        <v>2</v>
      </c>
      <c r="C10" s="657">
        <f>Application!O734</f>
        <v>808</v>
      </c>
      <c r="D10" s="658"/>
      <c r="E10" s="475"/>
      <c r="F10" s="659">
        <f t="shared" si="0"/>
        <v>0</v>
      </c>
      <c r="G10" s="660"/>
      <c r="H10" s="657" t="str">
        <f t="shared" si="1"/>
        <v xml:space="preserve"> </v>
      </c>
      <c r="I10" s="659" t="str">
        <f t="shared" si="2"/>
        <v xml:space="preserve"> </v>
      </c>
      <c r="J10" s="324"/>
      <c r="K10" s="472"/>
    </row>
    <row r="11" spans="1:11">
      <c r="A11" s="657" t="str">
        <f>Application!B735</f>
        <v>2 Bedrooms</v>
      </c>
      <c r="B11" s="666">
        <f>Application!G735</f>
        <v>2</v>
      </c>
      <c r="C11" s="657">
        <f>Application!O735</f>
        <v>968</v>
      </c>
      <c r="D11" s="658"/>
      <c r="E11" s="475"/>
      <c r="F11" s="659">
        <f t="shared" si="0"/>
        <v>0</v>
      </c>
      <c r="G11" s="660"/>
      <c r="H11" s="657" t="str">
        <f t="shared" si="1"/>
        <v xml:space="preserve"> </v>
      </c>
      <c r="I11" s="659" t="str">
        <f t="shared" si="2"/>
        <v xml:space="preserve"> </v>
      </c>
      <c r="J11" s="324"/>
      <c r="K11" s="472"/>
    </row>
    <row r="12" spans="1:11">
      <c r="A12" s="657" t="str">
        <f>Application!B736</f>
        <v>3 Bedrooms</v>
      </c>
      <c r="B12" s="666">
        <f>Application!G736</f>
        <v>9</v>
      </c>
      <c r="C12" s="657">
        <f>Application!O736</f>
        <v>1117</v>
      </c>
      <c r="D12" s="658"/>
      <c r="E12" s="475"/>
      <c r="F12" s="659">
        <f t="shared" si="0"/>
        <v>0</v>
      </c>
      <c r="G12" s="660"/>
      <c r="H12" s="657" t="str">
        <f t="shared" si="1"/>
        <v xml:space="preserve"> </v>
      </c>
      <c r="I12" s="659" t="str">
        <f t="shared" si="2"/>
        <v xml:space="preserve"> </v>
      </c>
      <c r="J12" s="324"/>
      <c r="K12" s="472"/>
    </row>
    <row r="13" spans="1:11">
      <c r="A13" s="657" t="str">
        <f>Application!B737</f>
        <v>1 Bedroom</v>
      </c>
      <c r="B13" s="666">
        <f>Application!G737</f>
        <v>5</v>
      </c>
      <c r="C13" s="657">
        <f>Application!O737</f>
        <v>660</v>
      </c>
      <c r="D13" s="658"/>
      <c r="E13" s="475"/>
      <c r="F13" s="659">
        <f t="shared" si="0"/>
        <v>0</v>
      </c>
      <c r="G13" s="660"/>
      <c r="H13" s="657" t="str">
        <f t="shared" si="1"/>
        <v xml:space="preserve"> </v>
      </c>
      <c r="I13" s="659" t="str">
        <f t="shared" si="2"/>
        <v xml:space="preserve"> </v>
      </c>
      <c r="J13" s="324"/>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4"/>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4"/>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4"/>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4"/>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4"/>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4"/>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4"/>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4"/>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4"/>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4"/>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4"/>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4"/>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4"/>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4"/>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4"/>
      <c r="K28" s="472"/>
    </row>
    <row r="29" spans="1:11">
      <c r="A29" s="382"/>
      <c r="B29" s="382"/>
      <c r="C29" s="658"/>
      <c r="D29" s="658"/>
      <c r="E29" s="658"/>
      <c r="F29" s="658"/>
      <c r="G29" s="660"/>
      <c r="H29" s="658"/>
      <c r="I29" s="382"/>
      <c r="J29" s="324"/>
      <c r="K29" s="472"/>
    </row>
    <row r="30" spans="1:11" ht="15">
      <c r="A30" s="661" t="s">
        <v>986</v>
      </c>
      <c r="B30" s="662"/>
      <c r="C30" s="663">
        <f>Application!T753</f>
        <v>50258</v>
      </c>
      <c r="D30" s="658"/>
      <c r="E30" s="658"/>
      <c r="F30" s="663">
        <f>SUM(F4:F28)*12</f>
        <v>266628</v>
      </c>
      <c r="G30" s="664"/>
      <c r="H30" s="662"/>
      <c r="I30" s="663">
        <f>SUM(I4:I28)*12</f>
        <v>176928</v>
      </c>
      <c r="J30" s="324"/>
      <c r="K30" s="474"/>
    </row>
    <row r="31" spans="1:11" ht="15">
      <c r="A31" s="661"/>
      <c r="B31" s="662"/>
      <c r="C31" s="664"/>
      <c r="D31" s="658"/>
      <c r="E31" s="658"/>
      <c r="F31" s="664"/>
      <c r="G31" s="664"/>
      <c r="H31" s="662"/>
      <c r="I31" s="664"/>
      <c r="J31" s="324"/>
      <c r="K31" s="474"/>
    </row>
    <row r="32" spans="1:11">
      <c r="A32" s="665" t="s">
        <v>987</v>
      </c>
      <c r="B32" s="654"/>
      <c r="C32" s="654"/>
      <c r="D32" s="654"/>
      <c r="E32" s="654"/>
      <c r="F32" s="654"/>
      <c r="G32" s="654"/>
      <c r="H32" s="654"/>
      <c r="I32" s="654"/>
    </row>
    <row r="33" spans="1:9">
      <c r="A33" s="665" t="s">
        <v>988</v>
      </c>
      <c r="B33" s="654"/>
      <c r="C33" s="654"/>
      <c r="D33" s="654"/>
      <c r="E33" s="654"/>
      <c r="F33" s="654"/>
      <c r="G33" s="654"/>
      <c r="H33" s="654"/>
      <c r="I33" s="654"/>
    </row>
    <row r="34" spans="1:9">
      <c r="A34" s="654" t="s">
        <v>1142</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1048</v>
      </c>
    </row>
    <row r="2" spans="1:1" ht="15.75">
      <c r="A2" s="488"/>
    </row>
    <row r="3" spans="1:1" ht="15.75">
      <c r="A3" s="489" t="s">
        <v>1043</v>
      </c>
    </row>
    <row r="4" spans="1:1" ht="15.75">
      <c r="A4" s="489" t="s">
        <v>1044</v>
      </c>
    </row>
    <row r="5" spans="1:1" ht="15.75">
      <c r="A5" s="489" t="s">
        <v>1045</v>
      </c>
    </row>
    <row r="6" spans="1:1" ht="15.75">
      <c r="A6" s="489" t="s">
        <v>1047</v>
      </c>
    </row>
    <row r="7" spans="1:1" ht="15.75">
      <c r="A7" s="489" t="s">
        <v>1046</v>
      </c>
    </row>
    <row r="8" spans="1:1" ht="15.75">
      <c r="A8" s="537" t="s">
        <v>1135</v>
      </c>
    </row>
    <row r="9" spans="1:1" ht="15.75">
      <c r="A9" s="489"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4" customWidth="1"/>
    <col min="2" max="4" width="14.7109375" style="324" customWidth="1"/>
    <col min="5" max="5" width="50.7109375" style="324" customWidth="1"/>
    <col min="6" max="6" width="9.140625" style="324" customWidth="1"/>
    <col min="7" max="253" width="0" style="499" hidden="1" customWidth="1"/>
    <col min="254" max="16384" width="9.140625" style="499" hidden="1"/>
  </cols>
  <sheetData>
    <row r="1" spans="1:253" s="431" customFormat="1" ht="18" customHeight="1">
      <c r="A1" s="864" t="s">
        <v>1426</v>
      </c>
      <c r="D1" s="436"/>
    </row>
    <row r="2" spans="1:253" s="431" customFormat="1">
      <c r="A2" s="413" t="s">
        <v>956</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957</v>
      </c>
      <c r="C3" s="417" t="s">
        <v>958</v>
      </c>
      <c r="D3" s="417" t="s">
        <v>959</v>
      </c>
      <c r="E3" s="414" t="s">
        <v>960</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2655000</v>
      </c>
      <c r="C5" s="420">
        <f>'Sources and Uses Budget'!$C4</f>
        <v>2655000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306280</v>
      </c>
      <c r="C6" s="420">
        <f>'Sources and Uses Budget'!$C5</f>
        <v>306280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627</v>
      </c>
      <c r="B9" s="424">
        <f>SUM(B5:B8)</f>
        <v>2961280</v>
      </c>
      <c r="C9" s="424">
        <f>SUM(C5:C8)</f>
        <v>2961280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628</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629</v>
      </c>
      <c r="B11" s="420">
        <f>'Sources and Uses Budget'!$C10</f>
        <v>0</v>
      </c>
      <c r="C11" s="420">
        <f>'Sources and Uses Budget'!$C10</f>
        <v>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630</v>
      </c>
      <c r="B12" s="424">
        <f>SUM(B10:B11)</f>
        <v>0</v>
      </c>
      <c r="C12" s="424">
        <f>SUM(C10:C11)</f>
        <v>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2961280</v>
      </c>
      <c r="C13" s="424">
        <f>SUM(C9+C12)</f>
        <v>2961280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970</v>
      </c>
      <c r="B14" s="420">
        <f>'Sources and Uses Budget'!$C13</f>
        <v>285000</v>
      </c>
      <c r="C14" s="420">
        <f>'Sources and Uses Budget'!$C13</f>
        <v>285000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971</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1354</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631</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632</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633</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634</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1991</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5" t="str">
        <f>'Sources and Uses Budget'!A25</f>
        <v>Other:</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632</v>
      </c>
      <c r="B30" s="420">
        <f>'Sources and Uses Budget'!$C29</f>
        <v>2365234</v>
      </c>
      <c r="C30" s="420">
        <f>'Sources and Uses Budget'!$C29</f>
        <v>2365234</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633</v>
      </c>
      <c r="B31" s="420">
        <f>'Sources and Uses Budget'!$C30</f>
        <v>20364352</v>
      </c>
      <c r="C31" s="420">
        <f>'Sources and Uses Budget'!$C30</f>
        <v>20364352</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634</v>
      </c>
      <c r="B32" s="420">
        <f>'Sources and Uses Budget'!$C31</f>
        <v>670459</v>
      </c>
      <c r="C32" s="420">
        <f>'Sources and Uses Budget'!$C31</f>
        <v>670459</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383412</v>
      </c>
      <c r="C33" s="420">
        <f>'Sources and Uses Budget'!$C32</f>
        <v>383412</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1232519</v>
      </c>
      <c r="C34" s="420">
        <f>'Sources and Uses Budget'!$C33</f>
        <v>1232519</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559519</v>
      </c>
      <c r="C36" s="420">
        <f>'Sources and Uses Budget'!$C35</f>
        <v>559519</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1991</v>
      </c>
      <c r="B37" s="420">
        <f>'Sources and Uses Budget'!$C36</f>
        <v>175000</v>
      </c>
      <c r="C37" s="420">
        <f>'Sources and Uses Budget'!$C36</f>
        <v>175000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5" t="str">
        <f>'Sources and Uses Budget'!A37</f>
        <v>Other: Photo Voltaic</v>
      </c>
      <c r="B38" s="420">
        <f>'Sources and Uses Budget'!$C37</f>
        <v>400000</v>
      </c>
      <c r="C38" s="420">
        <f>'Sources and Uses Budget'!$C37</f>
        <v>400000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26150495</v>
      </c>
      <c r="C39" s="424">
        <f>SUM(C30:C38)</f>
        <v>26150495</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525000</v>
      </c>
      <c r="C41" s="420">
        <f>'Sources and Uses Budget'!$C40</f>
        <v>525000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260000</v>
      </c>
      <c r="C42" s="420">
        <f>'Sources and Uses Budget'!$C41</f>
        <v>260000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785000</v>
      </c>
      <c r="C43" s="424">
        <f>SUM(C41:C42)</f>
        <v>785000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100000</v>
      </c>
      <c r="C44" s="420">
        <f>'Sources and Uses Budget'!$C43</f>
        <v>100000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1280871</v>
      </c>
      <c r="C46" s="420">
        <f>'Sources and Uses Budget'!$C45</f>
        <v>1280871</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276372</v>
      </c>
      <c r="C47" s="420">
        <f>'Sources and Uses Budget'!$C46</f>
        <v>276372</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6"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7000</v>
      </c>
      <c r="C49" s="420">
        <f>'Sources and Uses Budget'!$C48</f>
        <v>7000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95207</v>
      </c>
      <c r="C50" s="420">
        <f>'Sources and Uses Budget'!$C49</f>
        <v>95207</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65000</v>
      </c>
      <c r="C51" s="420">
        <f>'Sources and Uses Budget'!$C50</f>
        <v>65000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53710</v>
      </c>
      <c r="C52" s="420">
        <f>'Sources and Uses Budget'!$C51</f>
        <v>53710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152000</v>
      </c>
      <c r="C53" s="420">
        <f>'Sources and Uses Budget'!$C52</f>
        <v>152000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5" t="str">
        <f>'Sources and Uses Budget'!A53</f>
        <v>Other: Construction Lender Expenses</v>
      </c>
      <c r="B54" s="420">
        <f>'Sources and Uses Budget'!$C53</f>
        <v>30000</v>
      </c>
      <c r="C54" s="420">
        <f>'Sources and Uses Budget'!$C53</f>
        <v>30000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1960160</v>
      </c>
      <c r="C55" s="427">
        <f>SUM(C46:C54)</f>
        <v>1960160</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438</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31347</v>
      </c>
      <c r="C57" s="420">
        <f>'Sources and Uses Budget'!$C56</f>
        <v>31347</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0</v>
      </c>
      <c r="C59" s="420">
        <f>'Sources and Uses Budget'!$C58</f>
        <v>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Other: (Legal)</v>
      </c>
      <c r="B62" s="420">
        <f>'Sources and Uses Budget'!$C61</f>
        <v>10000</v>
      </c>
      <c r="C62" s="420">
        <f>'Sources and Uses Budget'!$C61</f>
        <v>10000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9" customHeight="1">
      <c r="A63" s="425" t="s">
        <v>308</v>
      </c>
      <c r="B63" s="424">
        <f>SUM(B57:B62)</f>
        <v>41347</v>
      </c>
      <c r="C63" s="424">
        <f>SUM(C57:C62)</f>
        <v>41347</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309</v>
      </c>
      <c r="B64" s="424">
        <f>SUM(B9+B12+B14+B15+B17+B26+B28+B39+B43+B44+B55+B63)</f>
        <v>32283282</v>
      </c>
      <c r="C64" s="424">
        <f>SUM(C9+C12+C14+C15+C17+C26+C28+C39+C43+C44+C55+C63)</f>
        <v>32283282</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1995</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175</v>
      </c>
      <c r="B66" s="420">
        <f>'Sources and Uses Budget'!$C65</f>
        <v>130316</v>
      </c>
      <c r="C66" s="420">
        <f>'Sources and Uses Budget'!$C65</f>
        <v>130316</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1992</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1993</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1999</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5" t="str">
        <f>'Sources and Uses Budget'!A69</f>
        <v>Other: Construction Closing Owner Legal</v>
      </c>
      <c r="B70" s="420">
        <f>'Sources and Uses Budget'!$C69</f>
        <v>76000</v>
      </c>
      <c r="C70" s="420">
        <f>'Sources and Uses Budget'!$C69</f>
        <v>76000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1996</v>
      </c>
      <c r="B71" s="424">
        <f>SUM(B66:B70)</f>
        <v>206316</v>
      </c>
      <c r="C71" s="424">
        <f>SUM(C66:C70)</f>
        <v>206316</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636</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637</v>
      </c>
      <c r="B73" s="420">
        <f>'Sources and Uses Budget'!$C72</f>
        <v>0</v>
      </c>
      <c r="C73" s="420">
        <f>'Sources and Uses Budget'!$C72</f>
        <v>0</v>
      </c>
      <c r="D73" s="424">
        <f t="shared" si="0"/>
        <v>0</v>
      </c>
      <c r="E73" s="422"/>
      <c r="F73" s="421"/>
      <c r="G73" s="552"/>
    </row>
    <row r="74" spans="1:253" s="546" customFormat="1">
      <c r="A74" s="423" t="s">
        <v>638</v>
      </c>
      <c r="B74" s="420">
        <f>'Sources and Uses Budget'!$C73</f>
        <v>0</v>
      </c>
      <c r="C74" s="420">
        <f>'Sources and Uses Budget'!$C73</f>
        <v>0</v>
      </c>
      <c r="D74" s="424">
        <f t="shared" si="0"/>
        <v>0</v>
      </c>
      <c r="E74" s="422"/>
      <c r="F74" s="421"/>
      <c r="G74" s="552"/>
    </row>
    <row r="75" spans="1:253" s="546" customFormat="1">
      <c r="A75" s="507" t="s">
        <v>1084</v>
      </c>
      <c r="B75" s="420">
        <f>'Sources and Uses Budget'!$C74</f>
        <v>0</v>
      </c>
      <c r="C75" s="420">
        <f>'Sources and Uses Budget'!$C74</f>
        <v>0</v>
      </c>
      <c r="D75" s="424">
        <f t="shared" si="0"/>
        <v>0</v>
      </c>
      <c r="E75" s="422"/>
      <c r="F75" s="421"/>
      <c r="G75" s="552"/>
    </row>
    <row r="76" spans="1:253" s="546" customFormat="1">
      <c r="A76" s="423" t="s">
        <v>639</v>
      </c>
      <c r="B76" s="420">
        <f>'Sources and Uses Budget'!$C75</f>
        <v>177297</v>
      </c>
      <c r="C76" s="420">
        <f>'Sources and Uses Budget'!$C75</f>
        <v>177297</v>
      </c>
      <c r="D76" s="424">
        <f t="shared" si="0"/>
        <v>0</v>
      </c>
      <c r="E76" s="422"/>
      <c r="F76" s="421"/>
      <c r="G76" s="552"/>
    </row>
    <row r="77" spans="1:253" s="546" customFormat="1">
      <c r="A77" s="426" t="s">
        <v>35</v>
      </c>
      <c r="B77" s="420">
        <f>'Sources and Uses Budget'!$C76</f>
        <v>112225</v>
      </c>
      <c r="C77" s="420">
        <f>'Sources and Uses Budget'!$C76</f>
        <v>112225</v>
      </c>
      <c r="D77" s="424">
        <f t="shared" si="0"/>
        <v>0</v>
      </c>
      <c r="E77" s="422"/>
      <c r="F77" s="421"/>
      <c r="G77" s="552"/>
    </row>
    <row r="78" spans="1:253" s="546" customFormat="1">
      <c r="A78" s="425" t="s">
        <v>640</v>
      </c>
      <c r="B78" s="424">
        <f>SUM(B73:B77)</f>
        <v>289522</v>
      </c>
      <c r="C78" s="424">
        <f>SUM(C73:C77)</f>
        <v>289522</v>
      </c>
      <c r="D78" s="424">
        <f t="shared" ref="D78:D106" si="1">C78-B78</f>
        <v>0</v>
      </c>
      <c r="E78" s="422"/>
      <c r="F78" s="421"/>
      <c r="G78" s="552"/>
    </row>
    <row r="79" spans="1:253" s="546" customFormat="1">
      <c r="A79" s="418" t="s">
        <v>1418</v>
      </c>
      <c r="B79" s="418"/>
      <c r="C79" s="418"/>
      <c r="D79" s="418"/>
      <c r="E79" s="438"/>
      <c r="F79" s="418"/>
      <c r="G79" s="552"/>
    </row>
    <row r="80" spans="1:253" s="546" customFormat="1">
      <c r="A80" s="860" t="s">
        <v>1420</v>
      </c>
      <c r="B80" s="420">
        <f>'Sources and Uses Budget'!$C79</f>
        <v>1298775</v>
      </c>
      <c r="C80" s="420">
        <f>'Sources and Uses Budget'!$C79</f>
        <v>1298775</v>
      </c>
      <c r="D80" s="424">
        <f t="shared" si="1"/>
        <v>0</v>
      </c>
      <c r="E80" s="422"/>
      <c r="F80" s="421"/>
      <c r="G80" s="552"/>
    </row>
    <row r="81" spans="1:7" s="546" customFormat="1">
      <c r="A81" s="860" t="s">
        <v>61</v>
      </c>
      <c r="B81" s="420">
        <f>'Sources and Uses Budget'!$C80</f>
        <v>250000</v>
      </c>
      <c r="C81" s="420">
        <f>'Sources and Uses Budget'!$C80</f>
        <v>250000</v>
      </c>
      <c r="D81" s="424">
        <f>C81-B81</f>
        <v>0</v>
      </c>
      <c r="E81" s="422"/>
      <c r="F81" s="421"/>
      <c r="G81" s="552"/>
    </row>
    <row r="82" spans="1:7" s="546" customFormat="1">
      <c r="A82" s="425" t="s">
        <v>1417</v>
      </c>
      <c r="B82" s="424">
        <f>SUM(B80:B81)</f>
        <v>1548775</v>
      </c>
      <c r="C82" s="424">
        <f>SUM(C80:C81)</f>
        <v>1548775</v>
      </c>
      <c r="D82" s="424">
        <f t="shared" si="1"/>
        <v>0</v>
      </c>
      <c r="E82" s="422"/>
      <c r="F82" s="421"/>
      <c r="G82" s="552"/>
    </row>
    <row r="83" spans="1:7" s="546" customFormat="1">
      <c r="A83" s="418" t="s">
        <v>822</v>
      </c>
      <c r="B83" s="418"/>
      <c r="C83" s="418"/>
      <c r="D83" s="418"/>
      <c r="E83" s="438"/>
      <c r="F83" s="418"/>
      <c r="G83" s="552"/>
    </row>
    <row r="84" spans="1:7" s="546" customFormat="1" ht="13.9" customHeight="1">
      <c r="A84" s="423" t="s">
        <v>823</v>
      </c>
      <c r="B84" s="420">
        <f>'Sources and Uses Budget'!$C83</f>
        <v>45787</v>
      </c>
      <c r="C84" s="420">
        <f>'Sources and Uses Budget'!$C83</f>
        <v>45787</v>
      </c>
      <c r="D84" s="424">
        <f t="shared" si="1"/>
        <v>0</v>
      </c>
      <c r="E84" s="422"/>
      <c r="F84" s="421"/>
      <c r="G84" s="552"/>
    </row>
    <row r="85" spans="1:7" s="546" customFormat="1">
      <c r="A85" s="423" t="s">
        <v>824</v>
      </c>
      <c r="B85" s="420">
        <f>'Sources and Uses Budget'!$C84</f>
        <v>235235</v>
      </c>
      <c r="C85" s="420">
        <f>'Sources and Uses Budget'!$C84</f>
        <v>235235</v>
      </c>
      <c r="D85" s="424">
        <f t="shared" si="1"/>
        <v>0</v>
      </c>
      <c r="E85" s="422"/>
      <c r="F85" s="421"/>
      <c r="G85" s="552"/>
    </row>
    <row r="86" spans="1:7" s="546" customFormat="1">
      <c r="A86" s="423" t="s">
        <v>825</v>
      </c>
      <c r="B86" s="420">
        <f>'Sources and Uses Budget'!$C85</f>
        <v>810962</v>
      </c>
      <c r="C86" s="420">
        <f>'Sources and Uses Budget'!$C85</f>
        <v>810962</v>
      </c>
      <c r="D86" s="424">
        <f t="shared" si="1"/>
        <v>0</v>
      </c>
      <c r="E86" s="422"/>
      <c r="F86" s="421"/>
      <c r="G86" s="552"/>
    </row>
    <row r="87" spans="1:7" s="546" customFormat="1">
      <c r="A87" s="423" t="s">
        <v>826</v>
      </c>
      <c r="B87" s="420">
        <f>'Sources and Uses Budget'!$C86</f>
        <v>911250</v>
      </c>
      <c r="C87" s="420">
        <f>'Sources and Uses Budget'!$C86</f>
        <v>911250</v>
      </c>
      <c r="D87" s="424">
        <f t="shared" si="1"/>
        <v>0</v>
      </c>
      <c r="E87" s="422"/>
      <c r="F87" s="421"/>
      <c r="G87" s="552"/>
    </row>
    <row r="88" spans="1:7" s="546" customFormat="1">
      <c r="A88" s="423" t="s">
        <v>827</v>
      </c>
      <c r="B88" s="420">
        <f>'Sources and Uses Budget'!$C87</f>
        <v>0</v>
      </c>
      <c r="C88" s="420">
        <f>'Sources and Uses Budget'!$C87</f>
        <v>0</v>
      </c>
      <c r="D88" s="424">
        <f t="shared" si="1"/>
        <v>0</v>
      </c>
      <c r="E88" s="422"/>
      <c r="F88" s="421"/>
      <c r="G88" s="552"/>
    </row>
    <row r="89" spans="1:7" s="546" customFormat="1">
      <c r="A89" s="423" t="s">
        <v>828</v>
      </c>
      <c r="B89" s="420">
        <f>'Sources and Uses Budget'!$C88</f>
        <v>40000</v>
      </c>
      <c r="C89" s="420">
        <f>'Sources and Uses Budget'!$C88</f>
        <v>40000</v>
      </c>
      <c r="D89" s="424">
        <f t="shared" si="1"/>
        <v>0</v>
      </c>
      <c r="E89" s="422"/>
      <c r="F89" s="421"/>
      <c r="G89" s="552"/>
    </row>
    <row r="90" spans="1:7" s="546" customFormat="1">
      <c r="A90" s="423" t="s">
        <v>829</v>
      </c>
      <c r="B90" s="420">
        <f>'Sources and Uses Budget'!$C89</f>
        <v>80000</v>
      </c>
      <c r="C90" s="420">
        <f>'Sources and Uses Budget'!$C89</f>
        <v>80000</v>
      </c>
      <c r="D90" s="424">
        <f t="shared" si="1"/>
        <v>0</v>
      </c>
      <c r="E90" s="422"/>
      <c r="F90" s="421"/>
      <c r="G90" s="552"/>
    </row>
    <row r="91" spans="1:7" s="546" customFormat="1">
      <c r="A91" s="423" t="s">
        <v>830</v>
      </c>
      <c r="B91" s="420">
        <f>'Sources and Uses Budget'!$C90</f>
        <v>9750</v>
      </c>
      <c r="C91" s="420">
        <f>'Sources and Uses Budget'!$C90</f>
        <v>9750</v>
      </c>
      <c r="D91" s="424">
        <f t="shared" si="1"/>
        <v>0</v>
      </c>
      <c r="E91" s="422"/>
      <c r="F91" s="421"/>
      <c r="G91" s="552"/>
    </row>
    <row r="92" spans="1:7" s="546" customFormat="1">
      <c r="A92" s="429" t="s">
        <v>389</v>
      </c>
      <c r="B92" s="420">
        <f>'Sources and Uses Budget'!$C91</f>
        <v>0</v>
      </c>
      <c r="C92" s="420">
        <f>'Sources and Uses Budget'!$C91</f>
        <v>0</v>
      </c>
      <c r="D92" s="424">
        <f t="shared" si="1"/>
        <v>0</v>
      </c>
      <c r="E92" s="422"/>
      <c r="F92" s="421"/>
      <c r="G92" s="552"/>
    </row>
    <row r="93" spans="1:7" s="546" customFormat="1">
      <c r="A93" s="859" t="s">
        <v>1419</v>
      </c>
      <c r="B93" s="420">
        <f>'Sources and Uses Budget'!$C92</f>
        <v>9750</v>
      </c>
      <c r="C93" s="420">
        <f>'Sources and Uses Budget'!$C92</f>
        <v>9750</v>
      </c>
      <c r="D93" s="424">
        <f t="shared" si="1"/>
        <v>0</v>
      </c>
      <c r="E93" s="422"/>
      <c r="F93" s="421"/>
      <c r="G93" s="552"/>
    </row>
    <row r="94" spans="1:7" s="546" customFormat="1">
      <c r="A94" s="426" t="s">
        <v>35</v>
      </c>
      <c r="B94" s="420">
        <f>'Sources and Uses Budget'!$C93</f>
        <v>105000</v>
      </c>
      <c r="C94" s="420">
        <f>'Sources and Uses Budget'!$C93</f>
        <v>105000</v>
      </c>
      <c r="D94" s="424">
        <f t="shared" si="1"/>
        <v>0</v>
      </c>
      <c r="E94" s="422"/>
      <c r="F94" s="421"/>
      <c r="G94" s="552"/>
    </row>
    <row r="95" spans="1:7" s="546" customFormat="1">
      <c r="A95" s="426" t="s">
        <v>35</v>
      </c>
      <c r="B95" s="420">
        <f>'Sources and Uses Budget'!$C94</f>
        <v>98618</v>
      </c>
      <c r="C95" s="420">
        <f>'Sources and Uses Budget'!$C94</f>
        <v>98618</v>
      </c>
      <c r="D95" s="424">
        <f t="shared" si="1"/>
        <v>0</v>
      </c>
      <c r="E95" s="422"/>
      <c r="F95" s="421"/>
      <c r="G95" s="552"/>
    </row>
    <row r="96" spans="1:7" s="546" customFormat="1">
      <c r="A96" s="426" t="s">
        <v>35</v>
      </c>
      <c r="B96" s="420">
        <f>'Sources and Uses Budget'!$C95</f>
        <v>15000</v>
      </c>
      <c r="C96" s="420">
        <f>'Sources and Uses Budget'!$C95</f>
        <v>15000</v>
      </c>
      <c r="D96" s="424">
        <f t="shared" si="1"/>
        <v>0</v>
      </c>
      <c r="E96" s="422"/>
      <c r="F96" s="421"/>
      <c r="G96" s="552"/>
    </row>
    <row r="97" spans="1:7" s="546" customFormat="1">
      <c r="A97" s="425" t="s">
        <v>831</v>
      </c>
      <c r="B97" s="424">
        <f>SUM(B84:B96)</f>
        <v>2361352</v>
      </c>
      <c r="C97" s="424">
        <f>SUM(C84:C96)</f>
        <v>2361352</v>
      </c>
      <c r="D97" s="424">
        <f t="shared" si="1"/>
        <v>0</v>
      </c>
      <c r="E97" s="422"/>
      <c r="F97" s="421"/>
      <c r="G97" s="552"/>
    </row>
    <row r="98" spans="1:7" s="546" customFormat="1">
      <c r="A98" s="425" t="s">
        <v>832</v>
      </c>
      <c r="B98" s="424">
        <f>SUM(B64+B71+B78+B82+B97)</f>
        <v>36689247</v>
      </c>
      <c r="C98" s="424">
        <f>SUM(C64+C71+C78+C82+C97)</f>
        <v>36689247</v>
      </c>
      <c r="D98" s="424">
        <f t="shared" si="1"/>
        <v>0</v>
      </c>
      <c r="E98" s="422"/>
      <c r="F98" s="421"/>
      <c r="G98" s="552"/>
    </row>
    <row r="99" spans="1:7" s="546" customFormat="1">
      <c r="A99" s="418" t="s">
        <v>833</v>
      </c>
      <c r="B99" s="418"/>
      <c r="C99" s="418"/>
      <c r="D99" s="418"/>
      <c r="E99" s="438"/>
      <c r="F99" s="418"/>
      <c r="G99" s="552"/>
    </row>
    <row r="100" spans="1:7" s="545" customFormat="1">
      <c r="A100" s="215" t="s">
        <v>834</v>
      </c>
      <c r="B100" s="420">
        <f>'Sources and Uses Budget'!$C99</f>
        <v>1100000</v>
      </c>
      <c r="C100" s="420">
        <f>'Sources and Uses Budget'!$C99</f>
        <v>1100000</v>
      </c>
      <c r="D100" s="424">
        <f t="shared" si="1"/>
        <v>0</v>
      </c>
      <c r="E100" s="422"/>
      <c r="F100" s="421"/>
      <c r="G100" s="550"/>
    </row>
    <row r="101" spans="1:7" s="545" customFormat="1">
      <c r="A101" s="439" t="s">
        <v>1997</v>
      </c>
      <c r="B101" s="420">
        <f>'Sources and Uses Budget'!$C100</f>
        <v>0</v>
      </c>
      <c r="C101" s="420">
        <f>'Sources and Uses Budget'!$C100</f>
        <v>0</v>
      </c>
      <c r="D101" s="424">
        <f t="shared" si="1"/>
        <v>0</v>
      </c>
      <c r="E101" s="422"/>
      <c r="F101" s="421"/>
      <c r="G101" s="550"/>
    </row>
    <row r="102" spans="1:7" s="545" customFormat="1">
      <c r="A102" s="215" t="s">
        <v>835</v>
      </c>
      <c r="B102" s="420">
        <f>'Sources and Uses Budget'!$C101</f>
        <v>0</v>
      </c>
      <c r="C102" s="420">
        <f>'Sources and Uses Budget'!$C101</f>
        <v>0</v>
      </c>
      <c r="D102" s="424">
        <f t="shared" si="1"/>
        <v>0</v>
      </c>
      <c r="E102" s="422"/>
      <c r="F102" s="421"/>
      <c r="G102" s="550"/>
    </row>
    <row r="103" spans="1:7" s="545" customFormat="1" ht="12" customHeight="1">
      <c r="A103" s="439" t="s">
        <v>1998</v>
      </c>
      <c r="B103" s="420">
        <f>'Sources and Uses Budget'!$C102</f>
        <v>0</v>
      </c>
      <c r="C103" s="420">
        <f>'Sources and Uses Budget'!$C102</f>
        <v>0</v>
      </c>
      <c r="D103" s="424">
        <f t="shared" si="1"/>
        <v>0</v>
      </c>
      <c r="E103" s="422"/>
      <c r="F103" s="421"/>
      <c r="G103" s="550"/>
    </row>
    <row r="104" spans="1:7" s="545" customFormat="1" ht="38.25">
      <c r="A104" s="1815" t="str">
        <f>'Sources and Uses Budget'!A103</f>
        <v>Other: Perm Financing Placement, Resident Services Program Set-Up, 100% Lease-Up Fees</v>
      </c>
      <c r="B104" s="420">
        <f>'Sources and Uses Budget'!$C103</f>
        <v>1100000</v>
      </c>
      <c r="C104" s="420">
        <f>'Sources and Uses Budget'!$C103</f>
        <v>1100000</v>
      </c>
      <c r="D104" s="424">
        <f t="shared" si="1"/>
        <v>0</v>
      </c>
      <c r="E104" s="422"/>
      <c r="F104" s="421"/>
      <c r="G104" s="550"/>
    </row>
    <row r="105" spans="1:7" s="545" customFormat="1">
      <c r="A105" s="425" t="s">
        <v>836</v>
      </c>
      <c r="B105" s="424">
        <f>SUM(B100:B104)</f>
        <v>2200000</v>
      </c>
      <c r="C105" s="424">
        <f>SUM(C100:C104)</f>
        <v>2200000</v>
      </c>
      <c r="D105" s="424">
        <f t="shared" si="1"/>
        <v>0</v>
      </c>
      <c r="E105" s="422"/>
      <c r="F105" s="421"/>
      <c r="G105" s="550"/>
    </row>
    <row r="106" spans="1:7" s="545" customFormat="1">
      <c r="A106" s="425" t="s">
        <v>837</v>
      </c>
      <c r="B106" s="427">
        <f>SUM(B98+B105)</f>
        <v>38889247</v>
      </c>
      <c r="C106" s="427">
        <f>SUM(C98+C105)</f>
        <v>38889247</v>
      </c>
      <c r="D106" s="424">
        <f t="shared" si="1"/>
        <v>0</v>
      </c>
      <c r="E106" s="422"/>
      <c r="F106" s="421"/>
      <c r="G106" s="550"/>
    </row>
    <row r="107" spans="1:7" s="545" customFormat="1">
      <c r="A107" s="433" t="s">
        <v>838</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2" t="s">
        <v>1156</v>
      </c>
      <c r="B2" s="1912"/>
      <c r="C2" s="1913"/>
      <c r="D2" s="1913"/>
      <c r="E2" s="1913"/>
      <c r="F2" s="1913"/>
      <c r="G2" s="1913"/>
    </row>
    <row r="3" spans="1:9" s="255" customFormat="1">
      <c r="A3" s="1912" t="s">
        <v>1086</v>
      </c>
      <c r="B3" s="1912"/>
      <c r="C3" s="1913"/>
      <c r="D3" s="1913"/>
      <c r="E3" s="1913"/>
      <c r="F3" s="1913"/>
      <c r="G3" s="1913"/>
      <c r="I3" s="676" t="s">
        <v>315</v>
      </c>
    </row>
    <row r="4" spans="1:9">
      <c r="I4" s="677" t="s">
        <v>1157</v>
      </c>
    </row>
    <row r="5" spans="1:9" s="39" customFormat="1">
      <c r="A5" s="1916" t="s">
        <v>1087</v>
      </c>
      <c r="B5" s="1916"/>
      <c r="C5" s="1917"/>
      <c r="D5" s="1917"/>
      <c r="E5" s="1917"/>
      <c r="F5" s="1917"/>
      <c r="G5" s="1917"/>
      <c r="I5" s="677" t="s">
        <v>1158</v>
      </c>
    </row>
    <row r="6" spans="1:9" s="39" customFormat="1">
      <c r="A6" s="1916" t="s">
        <v>879</v>
      </c>
      <c r="B6" s="1916"/>
      <c r="C6" s="1917"/>
      <c r="D6" s="1917"/>
      <c r="E6" s="1917"/>
      <c r="F6" s="1917"/>
      <c r="G6" s="1917"/>
      <c r="I6" s="676" t="s">
        <v>625</v>
      </c>
    </row>
    <row r="7" spans="1:9" ht="11.85" customHeight="1"/>
    <row r="8" spans="1:9" s="39" customFormat="1">
      <c r="A8" s="1914" t="s">
        <v>1253</v>
      </c>
      <c r="B8" s="1914"/>
      <c r="C8" s="1915"/>
      <c r="D8" s="1915"/>
      <c r="E8" s="1915"/>
      <c r="F8" s="1915"/>
      <c r="G8" s="1915"/>
    </row>
    <row r="9" spans="1:9" s="39" customFormat="1">
      <c r="A9" s="1914" t="s">
        <v>1254</v>
      </c>
      <c r="B9" s="1914"/>
      <c r="C9" s="1915"/>
      <c r="D9" s="1915"/>
      <c r="E9" s="1915"/>
      <c r="F9" s="1915"/>
      <c r="G9" s="1915"/>
    </row>
    <row r="10" spans="1:9">
      <c r="A10" s="257"/>
      <c r="B10" s="257"/>
      <c r="C10" s="254"/>
      <c r="D10" s="254"/>
      <c r="E10" s="254"/>
      <c r="F10" s="254"/>
    </row>
    <row r="11" spans="1:9">
      <c r="A11" s="1918" t="s">
        <v>1256</v>
      </c>
      <c r="B11" s="1918"/>
      <c r="C11" s="1918"/>
      <c r="D11" s="1918"/>
      <c r="E11" s="1918"/>
      <c r="F11" s="1918"/>
      <c r="G11" s="1918"/>
    </row>
    <row r="12" spans="1:9">
      <c r="A12" s="254"/>
      <c r="B12" s="672"/>
      <c r="E12" s="50"/>
    </row>
    <row r="13" spans="1:9" ht="13.35" customHeight="1">
      <c r="C13" s="254"/>
      <c r="D13" s="1890" t="s">
        <v>1255</v>
      </c>
      <c r="E13" s="1890"/>
      <c r="F13" s="1890"/>
    </row>
    <row r="14" spans="1:9">
      <c r="C14" s="254"/>
      <c r="D14" s="1890"/>
      <c r="E14" s="1890"/>
      <c r="F14" s="1890"/>
    </row>
    <row r="15" spans="1:9">
      <c r="A15" s="259"/>
      <c r="B15" s="259"/>
      <c r="C15" s="259"/>
      <c r="D15" s="1887" t="s">
        <v>1238</v>
      </c>
      <c r="E15" s="1887"/>
      <c r="F15" s="1887"/>
    </row>
    <row r="16" spans="1:9">
      <c r="A16" s="259"/>
      <c r="B16" s="259"/>
      <c r="C16" s="259"/>
      <c r="D16" s="326"/>
    </row>
    <row r="17" spans="1:7" ht="14.25">
      <c r="A17" s="260"/>
      <c r="B17" s="678" t="s">
        <v>315</v>
      </c>
      <c r="C17" s="312"/>
      <c r="D17" s="1862" t="s">
        <v>1239</v>
      </c>
      <c r="E17" s="1862"/>
      <c r="F17" s="1862"/>
    </row>
    <row r="18" spans="1:7">
      <c r="A18" s="259"/>
      <c r="B18" s="259"/>
      <c r="C18" s="312"/>
      <c r="D18" s="1862"/>
      <c r="E18" s="1862"/>
      <c r="F18" s="1862"/>
    </row>
    <row r="19" spans="1:7">
      <c r="A19" s="259"/>
      <c r="B19" s="259"/>
      <c r="C19" s="312"/>
      <c r="D19" s="1862"/>
      <c r="E19" s="1862"/>
      <c r="F19" s="1862"/>
    </row>
    <row r="20" spans="1:7">
      <c r="A20" s="259"/>
      <c r="B20" s="259"/>
      <c r="C20" s="259"/>
    </row>
    <row r="21" spans="1:7" ht="14.25">
      <c r="A21" s="260"/>
      <c r="B21" s="678" t="s">
        <v>315</v>
      </c>
      <c r="D21" s="1891" t="s">
        <v>1240</v>
      </c>
      <c r="E21" s="1891"/>
      <c r="F21" s="1891"/>
    </row>
    <row r="22" spans="1:7" ht="14.25">
      <c r="A22" s="260"/>
      <c r="B22" s="260"/>
      <c r="D22" s="135"/>
    </row>
    <row r="23" spans="1:7" ht="14.25">
      <c r="A23" s="260"/>
      <c r="B23" s="678" t="s">
        <v>315</v>
      </c>
      <c r="D23" s="1862" t="s">
        <v>1241</v>
      </c>
      <c r="E23" s="1862"/>
      <c r="F23" s="1862"/>
    </row>
    <row r="24" spans="1:7" ht="14.25">
      <c r="A24" s="260"/>
      <c r="B24" s="260"/>
      <c r="D24" s="1862"/>
      <c r="E24" s="1862"/>
      <c r="F24" s="1862"/>
    </row>
    <row r="25" spans="1:7"/>
    <row r="26" spans="1:7" ht="14.25">
      <c r="A26" s="260"/>
      <c r="B26" s="678" t="s">
        <v>315</v>
      </c>
      <c r="D26" s="1885" t="s">
        <v>1242</v>
      </c>
      <c r="E26" s="1885"/>
      <c r="F26" s="1885"/>
    </row>
    <row r="27" spans="1:7">
      <c r="D27" s="1885"/>
      <c r="E27" s="1885"/>
      <c r="F27" s="1885"/>
    </row>
    <row r="28" spans="1:7">
      <c r="D28" s="1885"/>
      <c r="E28" s="1885"/>
      <c r="F28" s="1885"/>
    </row>
    <row r="29" spans="1:7">
      <c r="A29" s="557"/>
      <c r="C29" s="557"/>
      <c r="D29" s="1885"/>
      <c r="E29" s="1885"/>
      <c r="F29" s="1885"/>
    </row>
    <row r="30" spans="1:7">
      <c r="A30" s="557"/>
      <c r="C30" s="557"/>
      <c r="D30" s="1885"/>
      <c r="E30" s="1885"/>
      <c r="F30" s="1885"/>
    </row>
    <row r="31" spans="1:7" s="39" customFormat="1">
      <c r="A31" s="272"/>
      <c r="B31" s="272"/>
      <c r="C31" s="272"/>
      <c r="D31" s="442"/>
      <c r="E31" s="130"/>
      <c r="F31" s="130"/>
      <c r="G31" s="130"/>
    </row>
    <row r="32" spans="1:7" s="39" customFormat="1">
      <c r="A32" s="272"/>
      <c r="B32" s="678" t="s">
        <v>315</v>
      </c>
      <c r="C32" s="272"/>
      <c r="D32" s="1864" t="s">
        <v>1243</v>
      </c>
      <c r="E32" s="1864"/>
      <c r="F32" s="1864"/>
      <c r="G32" s="130"/>
    </row>
    <row r="33" spans="1:7" s="39" customFormat="1">
      <c r="A33" s="272"/>
      <c r="B33" s="272"/>
      <c r="C33" s="272"/>
      <c r="D33" s="1864"/>
      <c r="E33" s="1864"/>
      <c r="F33" s="1864"/>
      <c r="G33" s="130"/>
    </row>
    <row r="34" spans="1:7" ht="14.25">
      <c r="A34" s="260"/>
      <c r="B34" s="260"/>
      <c r="D34" s="403"/>
    </row>
    <row r="35" spans="1:7" ht="14.65" customHeight="1">
      <c r="A35" s="260"/>
      <c r="B35" s="678" t="s">
        <v>315</v>
      </c>
      <c r="C35" s="553"/>
      <c r="D35" s="1864" t="s">
        <v>1244</v>
      </c>
      <c r="E35" s="1864"/>
      <c r="F35" s="1864"/>
    </row>
    <row r="36" spans="1:7" ht="14.25">
      <c r="A36" s="260"/>
      <c r="B36" s="260"/>
      <c r="C36" s="553"/>
      <c r="D36" s="1864"/>
      <c r="E36" s="1864"/>
      <c r="F36" s="1864"/>
    </row>
    <row r="37" spans="1:7" ht="14.25">
      <c r="A37" s="260"/>
      <c r="B37" s="260"/>
      <c r="C37" s="553"/>
      <c r="D37" s="1864"/>
      <c r="E37" s="1864"/>
      <c r="F37" s="1864"/>
    </row>
    <row r="38" spans="1:7" ht="14.25">
      <c r="A38" s="260"/>
      <c r="B38" s="260"/>
      <c r="C38" s="553"/>
      <c r="D38" s="12"/>
    </row>
    <row r="39" spans="1:7" s="681" customFormat="1" ht="14.25">
      <c r="A39" s="260"/>
      <c r="B39" s="678" t="s">
        <v>315</v>
      </c>
      <c r="C39" s="698"/>
      <c r="D39" s="1864" t="s">
        <v>1245</v>
      </c>
      <c r="E39" s="1864"/>
      <c r="F39" s="1864"/>
      <c r="G39" s="7"/>
    </row>
    <row r="40" spans="1:7" s="681" customFormat="1" ht="14.25">
      <c r="A40" s="260"/>
      <c r="B40" s="260"/>
      <c r="C40" s="698"/>
      <c r="D40" s="1864"/>
      <c r="E40" s="1864"/>
      <c r="F40" s="1864"/>
      <c r="G40" s="7"/>
    </row>
    <row r="41" spans="1:7" s="681" customFormat="1" ht="14.25">
      <c r="A41" s="260"/>
      <c r="B41" s="260"/>
      <c r="C41" s="698"/>
      <c r="D41" s="1864"/>
      <c r="E41" s="1864"/>
      <c r="F41" s="1864"/>
      <c r="G41" s="7"/>
    </row>
    <row r="42" spans="1:7" s="681" customFormat="1" ht="14.25">
      <c r="A42" s="260"/>
      <c r="B42" s="260"/>
      <c r="C42" s="698"/>
      <c r="D42" s="1864"/>
      <c r="E42" s="1864"/>
      <c r="F42" s="1864"/>
      <c r="G42" s="7"/>
    </row>
    <row r="43" spans="1:7" s="681" customFormat="1" ht="14.25">
      <c r="A43" s="260"/>
      <c r="B43" s="260"/>
      <c r="C43" s="698"/>
      <c r="D43" s="1864"/>
      <c r="E43" s="1864"/>
      <c r="F43" s="1864"/>
      <c r="G43" s="7"/>
    </row>
    <row r="44" spans="1:7" s="681" customFormat="1" ht="14.25">
      <c r="A44" s="260"/>
      <c r="B44" s="260"/>
      <c r="C44" s="698"/>
      <c r="D44" s="697"/>
      <c r="E44" s="697"/>
      <c r="F44" s="697"/>
      <c r="G44" s="7"/>
    </row>
    <row r="45" spans="1:7" ht="14.25">
      <c r="A45" s="260"/>
      <c r="B45" s="678" t="s">
        <v>315</v>
      </c>
      <c r="C45" s="553"/>
      <c r="D45" s="1864" t="s">
        <v>1246</v>
      </c>
      <c r="E45" s="1864"/>
      <c r="F45" s="1864"/>
    </row>
    <row r="46" spans="1:7" ht="14.25">
      <c r="A46" s="260"/>
      <c r="B46" s="260"/>
      <c r="C46" s="553"/>
      <c r="D46" s="1864"/>
      <c r="E46" s="1864"/>
      <c r="F46" s="1864"/>
    </row>
    <row r="47" spans="1:7" ht="14.25">
      <c r="A47" s="260"/>
      <c r="B47" s="260"/>
      <c r="C47" s="553"/>
      <c r="D47" s="1864"/>
      <c r="E47" s="1864"/>
      <c r="F47" s="1864"/>
    </row>
    <row r="48" spans="1:7" ht="23.25" customHeight="1">
      <c r="A48" s="260"/>
      <c r="B48" s="260"/>
      <c r="C48" s="553"/>
      <c r="D48" s="1864"/>
      <c r="E48" s="1864"/>
      <c r="F48" s="1864"/>
    </row>
    <row r="49" spans="1:7" ht="14.25">
      <c r="A49" s="260"/>
      <c r="B49" s="260"/>
      <c r="D49" s="151"/>
    </row>
    <row r="50" spans="1:7" ht="14.65" customHeight="1">
      <c r="A50" s="260"/>
      <c r="B50" s="678" t="s">
        <v>315</v>
      </c>
      <c r="D50" s="1864" t="s">
        <v>1247</v>
      </c>
      <c r="E50" s="1864"/>
      <c r="F50" s="1864"/>
    </row>
    <row r="51" spans="1:7" ht="14.25">
      <c r="A51" s="260"/>
      <c r="B51" s="260"/>
      <c r="D51" s="1864"/>
      <c r="E51" s="1864"/>
      <c r="F51" s="1864"/>
    </row>
    <row r="52" spans="1:7" ht="14.25">
      <c r="A52" s="260"/>
      <c r="B52" s="260"/>
      <c r="D52" s="1864"/>
      <c r="E52" s="1864"/>
      <c r="F52" s="1864"/>
    </row>
    <row r="53" spans="1:7" s="2" customFormat="1" ht="14.25">
      <c r="A53" s="260"/>
      <c r="B53" s="260"/>
      <c r="C53" s="555"/>
      <c r="D53" s="238"/>
      <c r="E53" s="22"/>
      <c r="F53" s="22"/>
      <c r="G53" s="22"/>
    </row>
    <row r="54" spans="1:7" s="2" customFormat="1" ht="14.25">
      <c r="A54" s="402"/>
      <c r="B54" s="678" t="s">
        <v>315</v>
      </c>
      <c r="C54" s="556"/>
      <c r="D54" s="1864" t="s">
        <v>1248</v>
      </c>
      <c r="E54" s="1864"/>
      <c r="F54" s="1864"/>
      <c r="G54" s="22"/>
    </row>
    <row r="55" spans="1:7" s="2" customFormat="1" ht="14.25">
      <c r="A55" s="402"/>
      <c r="B55" s="402"/>
      <c r="C55" s="556"/>
      <c r="D55" s="1864"/>
      <c r="E55" s="1864"/>
      <c r="F55" s="1864"/>
      <c r="G55" s="22"/>
    </row>
    <row r="56" spans="1:7" s="39" customFormat="1">
      <c r="A56" s="272"/>
      <c r="B56" s="272"/>
      <c r="C56" s="272"/>
      <c r="D56" s="442"/>
      <c r="E56" s="130"/>
      <c r="F56" s="130"/>
      <c r="G56" s="130"/>
    </row>
    <row r="57" spans="1:7" ht="14.25">
      <c r="A57" s="260"/>
      <c r="B57" s="678" t="s">
        <v>315</v>
      </c>
      <c r="D57" s="1864" t="s">
        <v>1249</v>
      </c>
      <c r="E57" s="1864"/>
      <c r="F57" s="1864"/>
    </row>
    <row r="58" spans="1:7">
      <c r="D58" s="1864"/>
      <c r="E58" s="1864"/>
      <c r="F58" s="1864"/>
    </row>
    <row r="59" spans="1:7">
      <c r="D59" s="1864"/>
      <c r="E59" s="1864"/>
      <c r="F59" s="1864"/>
    </row>
    <row r="60" spans="1:7" s="681" customFormat="1">
      <c r="A60" s="698"/>
      <c r="B60" s="698"/>
      <c r="C60" s="698"/>
      <c r="D60" s="677"/>
      <c r="E60" s="7"/>
      <c r="F60" s="7"/>
      <c r="G60" s="7"/>
    </row>
    <row r="61" spans="1:7" ht="14.25">
      <c r="A61" s="260"/>
      <c r="B61" s="678" t="s">
        <v>315</v>
      </c>
      <c r="D61" s="1864" t="s">
        <v>1250</v>
      </c>
      <c r="E61" s="1864"/>
      <c r="F61" s="1864"/>
    </row>
    <row r="62" spans="1:7">
      <c r="D62" s="1864"/>
      <c r="E62" s="1864"/>
      <c r="F62" s="1864"/>
    </row>
    <row r="63" spans="1:7"/>
    <row r="64" spans="1:7" ht="14.25">
      <c r="A64" s="260"/>
      <c r="B64" s="678" t="s">
        <v>315</v>
      </c>
      <c r="D64" s="1864" t="s">
        <v>1251</v>
      </c>
      <c r="E64" s="1864"/>
      <c r="F64" s="1864"/>
    </row>
    <row r="65" spans="1:7">
      <c r="D65" s="1864"/>
      <c r="E65" s="1864"/>
      <c r="F65" s="1864"/>
    </row>
    <row r="66" spans="1:7">
      <c r="A66" s="554"/>
      <c r="C66" s="554"/>
      <c r="D66" s="1864"/>
      <c r="E66" s="1864"/>
      <c r="F66" s="1864"/>
    </row>
    <row r="67" spans="1:7">
      <c r="D67" s="12"/>
    </row>
    <row r="68" spans="1:7" ht="14.25">
      <c r="A68" s="260"/>
      <c r="B68" s="678" t="s">
        <v>315</v>
      </c>
      <c r="D68" s="1862" t="s">
        <v>1252</v>
      </c>
      <c r="E68" s="1862"/>
      <c r="F68" s="1862"/>
    </row>
    <row r="69" spans="1:7">
      <c r="D69" s="1862"/>
      <c r="E69" s="1862"/>
      <c r="F69" s="1862"/>
    </row>
    <row r="70" spans="1:7" ht="14.25">
      <c r="A70" s="260"/>
      <c r="B70" s="260"/>
      <c r="D70" s="135"/>
    </row>
    <row r="71" spans="1:7">
      <c r="A71" s="1888" t="s">
        <v>1159</v>
      </c>
      <c r="B71" s="1888"/>
      <c r="C71" s="1888"/>
      <c r="D71" s="1888"/>
      <c r="E71" s="1888"/>
      <c r="F71" s="1888"/>
      <c r="G71" s="1888"/>
    </row>
    <row r="72" spans="1:7"/>
    <row r="73" spans="1:7">
      <c r="C73" s="261"/>
      <c r="D73" s="1904" t="s">
        <v>1257</v>
      </c>
      <c r="E73" s="1904"/>
      <c r="F73" s="1904"/>
    </row>
    <row r="74" spans="1:7">
      <c r="A74" s="135"/>
      <c r="B74" s="135"/>
      <c r="D74" s="1862" t="s">
        <v>1284</v>
      </c>
      <c r="E74" s="1862"/>
      <c r="F74" s="1862"/>
    </row>
    <row r="75" spans="1:7">
      <c r="A75" s="135"/>
      <c r="B75" s="135"/>
    </row>
    <row r="76" spans="1:7" ht="14.25">
      <c r="A76" s="260"/>
      <c r="B76" s="678" t="s">
        <v>315</v>
      </c>
      <c r="D76" s="1862" t="s">
        <v>1258</v>
      </c>
      <c r="E76" s="1862"/>
      <c r="F76" s="1862"/>
    </row>
    <row r="77" spans="1:7" ht="14.25">
      <c r="A77" s="260"/>
      <c r="B77" s="260"/>
      <c r="D77" s="1862"/>
      <c r="E77" s="1862"/>
      <c r="F77" s="1862"/>
    </row>
    <row r="78" spans="1:7" ht="14.25">
      <c r="A78" s="260"/>
      <c r="B78" s="260"/>
      <c r="D78" s="1862"/>
      <c r="E78" s="1862"/>
      <c r="F78" s="1862"/>
    </row>
    <row r="79" spans="1:7" ht="14.25">
      <c r="A79" s="260"/>
      <c r="B79" s="260"/>
      <c r="D79" s="1862"/>
      <c r="E79" s="1862"/>
      <c r="F79" s="1862"/>
    </row>
    <row r="80" spans="1:7" ht="14.25">
      <c r="A80" s="260"/>
      <c r="B80" s="260"/>
      <c r="D80" s="1862"/>
      <c r="E80" s="1862"/>
      <c r="F80" s="1862"/>
    </row>
    <row r="81" spans="1:7" ht="14.25">
      <c r="A81" s="260"/>
      <c r="B81" s="260"/>
      <c r="D81" s="1862"/>
      <c r="E81" s="1862"/>
      <c r="F81" s="1862"/>
    </row>
    <row r="82" spans="1:7" s="705" customFormat="1" ht="14.25">
      <c r="A82" s="706"/>
      <c r="B82" s="706"/>
      <c r="C82" s="704"/>
      <c r="D82" s="708"/>
      <c r="E82" s="708"/>
      <c r="F82" s="708"/>
      <c r="G82" s="7"/>
    </row>
    <row r="83" spans="1:7" s="705" customFormat="1" ht="14.65" customHeight="1">
      <c r="A83" s="706"/>
      <c r="B83" s="711" t="s">
        <v>315</v>
      </c>
      <c r="C83" s="704"/>
      <c r="D83" s="1919" t="s">
        <v>1357</v>
      </c>
      <c r="E83" s="1919"/>
      <c r="F83" s="1919"/>
      <c r="G83" s="7"/>
    </row>
    <row r="84" spans="1:7" s="705" customFormat="1" ht="14.25">
      <c r="A84" s="706"/>
      <c r="B84" s="706"/>
      <c r="C84" s="704"/>
      <c r="D84" s="1919"/>
      <c r="E84" s="1919"/>
      <c r="F84" s="1919"/>
      <c r="G84" s="7"/>
    </row>
    <row r="85" spans="1:7" s="705" customFormat="1" ht="14.25">
      <c r="A85" s="706"/>
      <c r="B85" s="706"/>
      <c r="C85" s="704"/>
      <c r="D85" s="1919"/>
      <c r="E85" s="1919"/>
      <c r="F85" s="1919"/>
      <c r="G85" s="7"/>
    </row>
    <row r="86" spans="1:7" s="705" customFormat="1" ht="14.25">
      <c r="A86" s="706"/>
      <c r="B86" s="706"/>
      <c r="C86" s="704"/>
      <c r="D86" s="1919"/>
      <c r="E86" s="1919"/>
      <c r="F86" s="1919"/>
      <c r="G86" s="7"/>
    </row>
    <row r="87" spans="1:7" s="705" customFormat="1" ht="14.25">
      <c r="A87" s="706"/>
      <c r="B87" s="706"/>
      <c r="C87" s="704"/>
      <c r="D87" s="1919"/>
      <c r="E87" s="1919"/>
      <c r="F87" s="1919"/>
      <c r="G87" s="7"/>
    </row>
    <row r="88" spans="1:7" s="718" customFormat="1" ht="14.25">
      <c r="A88" s="713"/>
      <c r="B88" s="713"/>
      <c r="C88" s="744"/>
      <c r="D88" s="1919"/>
      <c r="E88" s="1919"/>
      <c r="F88" s="1919"/>
      <c r="G88" s="7"/>
    </row>
    <row r="89" spans="1:7" s="718" customFormat="1" ht="14.25">
      <c r="A89" s="713"/>
      <c r="B89" s="713"/>
      <c r="C89" s="744"/>
      <c r="D89" s="1919"/>
      <c r="E89" s="1919"/>
      <c r="F89" s="1919"/>
      <c r="G89" s="7"/>
    </row>
    <row r="90" spans="1:7" s="718" customFormat="1" ht="14.25">
      <c r="A90" s="713"/>
      <c r="B90" s="713"/>
      <c r="C90" s="744"/>
      <c r="D90" s="1919"/>
      <c r="E90" s="1919"/>
      <c r="F90" s="1919"/>
      <c r="G90" s="7"/>
    </row>
    <row r="91" spans="1:7" ht="14.25">
      <c r="A91" s="260"/>
      <c r="B91" s="260"/>
      <c r="D91" s="1919"/>
      <c r="E91" s="1919"/>
      <c r="F91" s="1919"/>
    </row>
    <row r="92" spans="1:7" ht="14.25">
      <c r="A92" s="260"/>
      <c r="B92" s="260"/>
      <c r="D92" s="1919"/>
      <c r="E92" s="1919"/>
      <c r="F92" s="1919"/>
    </row>
    <row r="93" spans="1:7" ht="14.25">
      <c r="A93" s="260"/>
      <c r="B93" s="260"/>
      <c r="D93" s="1919"/>
      <c r="E93" s="1919"/>
      <c r="F93" s="1919"/>
    </row>
    <row r="94" spans="1:7" ht="14.25">
      <c r="A94" s="260"/>
      <c r="B94" s="260"/>
      <c r="D94" s="1919"/>
      <c r="E94" s="1919"/>
      <c r="F94" s="1919"/>
    </row>
    <row r="95" spans="1:7" ht="14.25">
      <c r="A95" s="260"/>
      <c r="B95" s="260"/>
      <c r="D95" s="1919"/>
      <c r="E95" s="1919"/>
      <c r="F95" s="1919"/>
    </row>
    <row r="96" spans="1:7" ht="14.25">
      <c r="A96" s="260"/>
      <c r="B96" s="260"/>
      <c r="D96" s="1919"/>
      <c r="E96" s="1919"/>
      <c r="F96" s="1919"/>
    </row>
    <row r="97" spans="1:11" s="709" customFormat="1" ht="14.25">
      <c r="A97" s="710"/>
      <c r="B97" s="714" t="s">
        <v>315</v>
      </c>
      <c r="C97" s="704"/>
      <c r="D97" s="1862" t="s">
        <v>1259</v>
      </c>
      <c r="E97" s="1862"/>
      <c r="F97" s="1862"/>
      <c r="G97" s="7"/>
    </row>
    <row r="98" spans="1:11" s="709" customFormat="1" ht="14.25">
      <c r="A98" s="710"/>
      <c r="B98" s="710"/>
      <c r="C98" s="704"/>
      <c r="D98" s="1862"/>
      <c r="E98" s="1862"/>
      <c r="F98" s="1862"/>
      <c r="G98" s="7"/>
    </row>
    <row r="99" spans="1:11" s="709" customFormat="1" ht="14.25">
      <c r="A99" s="710"/>
      <c r="B99" s="710"/>
      <c r="C99" s="704"/>
      <c r="D99" s="1862"/>
      <c r="E99" s="1862"/>
      <c r="F99" s="1862"/>
      <c r="G99" s="7"/>
    </row>
    <row r="100" spans="1:11" s="709" customFormat="1" ht="14.25">
      <c r="A100" s="710"/>
      <c r="B100" s="710"/>
      <c r="C100" s="704"/>
      <c r="D100" s="1862"/>
      <c r="E100" s="1862"/>
      <c r="F100" s="1862"/>
      <c r="G100" s="7"/>
    </row>
    <row r="101" spans="1:11" s="709" customFormat="1" ht="14.25">
      <c r="A101" s="710"/>
      <c r="B101" s="710"/>
      <c r="C101" s="704"/>
      <c r="D101" s="1862"/>
      <c r="E101" s="1862"/>
      <c r="F101" s="1862"/>
      <c r="G101" s="7"/>
    </row>
    <row r="102" spans="1:11" s="709" customFormat="1" ht="14.25">
      <c r="A102" s="710"/>
      <c r="B102" s="710"/>
      <c r="C102" s="704"/>
      <c r="D102" s="1862"/>
      <c r="E102" s="1862"/>
      <c r="F102" s="1862"/>
      <c r="G102" s="7"/>
    </row>
    <row r="103" spans="1:11" s="709" customFormat="1" ht="14.25">
      <c r="A103" s="710"/>
      <c r="B103" s="710"/>
      <c r="C103" s="704"/>
      <c r="D103" s="1862"/>
      <c r="E103" s="1862"/>
      <c r="F103" s="1862"/>
      <c r="G103" s="7"/>
    </row>
    <row r="104" spans="1:11" s="709" customFormat="1" ht="14.25">
      <c r="A104" s="710"/>
      <c r="B104" s="710"/>
      <c r="C104" s="704"/>
      <c r="D104" s="1862"/>
      <c r="E104" s="1862"/>
      <c r="F104" s="1862"/>
      <c r="G104" s="7"/>
    </row>
    <row r="105" spans="1:11" s="712" customFormat="1" ht="14.25">
      <c r="A105" s="713"/>
      <c r="B105" s="713"/>
      <c r="C105" s="704"/>
      <c r="D105" s="715"/>
      <c r="E105" s="715"/>
      <c r="F105" s="715"/>
      <c r="G105" s="7"/>
    </row>
    <row r="106" spans="1:11" ht="14.25">
      <c r="A106" s="402"/>
      <c r="B106" s="707" t="s">
        <v>315</v>
      </c>
      <c r="C106" s="468"/>
      <c r="D106" s="1920" t="s">
        <v>1260</v>
      </c>
      <c r="E106" s="1920"/>
      <c r="F106" s="1920"/>
      <c r="G106" s="469"/>
      <c r="H106" s="467"/>
      <c r="I106" s="467"/>
      <c r="J106" s="467"/>
      <c r="K106" s="467"/>
    </row>
    <row r="107" spans="1:11" ht="14.25">
      <c r="A107" s="260"/>
      <c r="B107" s="260"/>
      <c r="C107" s="314"/>
      <c r="D107" s="1920"/>
      <c r="E107" s="1920"/>
      <c r="F107" s="1920"/>
      <c r="G107" s="469"/>
      <c r="H107" s="467"/>
      <c r="I107" s="467"/>
      <c r="J107" s="467"/>
      <c r="K107" s="467"/>
    </row>
    <row r="108" spans="1:11" ht="14.25">
      <c r="A108" s="260"/>
      <c r="B108" s="260"/>
      <c r="C108" s="314"/>
      <c r="D108" s="1920"/>
      <c r="E108" s="1920"/>
      <c r="F108" s="1920"/>
      <c r="G108" s="469"/>
      <c r="H108" s="467"/>
      <c r="I108" s="467"/>
      <c r="J108" s="467"/>
      <c r="K108" s="467"/>
    </row>
    <row r="109" spans="1:11" ht="14.25">
      <c r="A109" s="260"/>
      <c r="B109" s="260"/>
      <c r="C109" s="314"/>
      <c r="D109" s="1920"/>
      <c r="E109" s="1920"/>
      <c r="F109" s="1920"/>
      <c r="G109" s="469"/>
      <c r="H109" s="467"/>
      <c r="I109" s="467"/>
      <c r="J109" s="467"/>
      <c r="K109" s="467"/>
    </row>
    <row r="110" spans="1:11" ht="14.25">
      <c r="A110" s="260"/>
      <c r="B110" s="260"/>
      <c r="C110" s="314"/>
      <c r="D110" s="1920"/>
      <c r="E110" s="1920"/>
      <c r="F110" s="1920"/>
      <c r="G110" s="469"/>
      <c r="H110" s="467"/>
      <c r="I110" s="467"/>
      <c r="J110" s="467"/>
      <c r="K110" s="467"/>
    </row>
    <row r="111" spans="1:11">
      <c r="C111"/>
      <c r="D111" s="1920"/>
      <c r="E111" s="1920"/>
      <c r="F111" s="1920"/>
      <c r="G111"/>
      <c r="H111"/>
      <c r="I111"/>
      <c r="J111"/>
      <c r="K111"/>
    </row>
    <row r="112" spans="1:11">
      <c r="C112"/>
      <c r="D112" s="1920"/>
      <c r="E112" s="1920"/>
      <c r="F112" s="1920"/>
      <c r="G112"/>
      <c r="H112"/>
      <c r="I112"/>
      <c r="J112"/>
      <c r="K112"/>
    </row>
    <row r="113" spans="1:11">
      <c r="C113"/>
      <c r="D113" s="476"/>
      <c r="E113"/>
      <c r="F113"/>
      <c r="G113"/>
      <c r="H113"/>
      <c r="I113"/>
      <c r="J113"/>
      <c r="K113"/>
    </row>
    <row r="114" spans="1:11" ht="14.25">
      <c r="A114" s="260"/>
      <c r="B114" s="678" t="s">
        <v>315</v>
      </c>
      <c r="C114"/>
      <c r="D114" s="1921" t="s">
        <v>1261</v>
      </c>
      <c r="E114" s="1921"/>
      <c r="F114" s="1921"/>
      <c r="G114"/>
      <c r="H114"/>
      <c r="I114"/>
      <c r="J114"/>
      <c r="K114"/>
    </row>
    <row r="115" spans="1:11" ht="14.25">
      <c r="A115" s="260"/>
      <c r="B115" s="260"/>
      <c r="C115"/>
      <c r="D115" s="1921"/>
      <c r="E115" s="1921"/>
      <c r="F115" s="1921"/>
      <c r="G115"/>
      <c r="H115"/>
      <c r="I115"/>
      <c r="J115"/>
      <c r="K115"/>
    </row>
    <row r="116" spans="1:11"/>
    <row r="117" spans="1:11" ht="14.25">
      <c r="A117" s="260"/>
      <c r="B117" s="678" t="s">
        <v>315</v>
      </c>
      <c r="C117" s="10"/>
      <c r="D117" s="1862" t="s">
        <v>1262</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0"/>
      <c r="B123" s="678" t="s">
        <v>315</v>
      </c>
      <c r="C123" s="10"/>
      <c r="D123" s="1864" t="s">
        <v>1263</v>
      </c>
      <c r="E123" s="1864"/>
      <c r="F123" s="1864"/>
      <c r="G123" s="149"/>
    </row>
    <row r="124" spans="1:11" s="295" customFormat="1" ht="13.9" customHeight="1">
      <c r="A124" s="292"/>
      <c r="B124" s="292"/>
      <c r="C124" s="293"/>
      <c r="D124" s="1864"/>
      <c r="E124" s="1864"/>
      <c r="F124" s="1864"/>
      <c r="G124" s="294"/>
    </row>
    <row r="125" spans="1:11" customFormat="1" ht="13.9" customHeight="1">
      <c r="A125" s="132"/>
      <c r="B125" s="675"/>
      <c r="C125" s="10"/>
      <c r="D125" s="1864"/>
      <c r="E125" s="1864"/>
      <c r="F125" s="1864"/>
      <c r="G125" s="149"/>
    </row>
    <row r="126" spans="1:11" customFormat="1" ht="13.9" customHeight="1">
      <c r="A126" s="132"/>
      <c r="B126" s="675"/>
      <c r="C126" s="10"/>
      <c r="D126" s="1864"/>
      <c r="E126" s="1864"/>
      <c r="F126" s="1864"/>
      <c r="G126" s="149"/>
    </row>
    <row r="127" spans="1:11" customFormat="1" ht="13.9" customHeight="1">
      <c r="A127" s="132"/>
      <c r="B127" s="675"/>
      <c r="C127" s="10"/>
      <c r="D127" s="1864"/>
      <c r="E127" s="1864"/>
      <c r="F127" s="1864"/>
      <c r="G127" s="149"/>
    </row>
    <row r="128" spans="1:11" customFormat="1" ht="13.9" customHeight="1">
      <c r="A128" s="377"/>
      <c r="B128" s="377"/>
      <c r="C128" s="10"/>
      <c r="D128" s="1864"/>
      <c r="E128" s="1864"/>
      <c r="F128" s="1864"/>
      <c r="G128" s="149"/>
    </row>
    <row r="129" spans="1:7" s="2" customFormat="1" ht="13.9" customHeight="1">
      <c r="A129" s="272"/>
      <c r="B129" s="272"/>
      <c r="C129" s="441"/>
      <c r="D129" s="1864"/>
      <c r="E129" s="1864"/>
      <c r="F129" s="1864"/>
      <c r="G129" s="182"/>
    </row>
    <row r="130" spans="1:7" s="2" customFormat="1" ht="13.9" customHeight="1">
      <c r="A130" s="272"/>
      <c r="B130" s="272"/>
      <c r="C130" s="441"/>
      <c r="D130" s="1864"/>
      <c r="E130" s="1864"/>
      <c r="F130" s="1864"/>
      <c r="G130" s="182"/>
    </row>
    <row r="131" spans="1:7" customFormat="1" ht="13.9" customHeight="1">
      <c r="A131" s="132"/>
      <c r="B131" s="675"/>
      <c r="C131" s="10"/>
      <c r="D131" s="1864"/>
      <c r="E131" s="1864"/>
      <c r="F131" s="1864"/>
      <c r="G131" s="149"/>
    </row>
    <row r="132" spans="1:7" customFormat="1" ht="13.9" customHeight="1">
      <c r="A132" s="132"/>
      <c r="B132" s="675"/>
      <c r="C132" s="10"/>
      <c r="D132" s="1864"/>
      <c r="E132" s="1864"/>
      <c r="F132" s="1864"/>
      <c r="G132" s="149"/>
    </row>
    <row r="133" spans="1:7" customFormat="1" ht="13.9" customHeight="1">
      <c r="A133" s="132"/>
      <c r="B133" s="675"/>
      <c r="C133" s="10"/>
      <c r="D133" s="1864"/>
      <c r="E133" s="1864"/>
      <c r="F133" s="1864"/>
      <c r="G133" s="149"/>
    </row>
    <row r="134" spans="1:7" customFormat="1" ht="13.9" customHeight="1">
      <c r="A134" s="132"/>
      <c r="B134" s="675"/>
      <c r="C134" s="10"/>
      <c r="D134" s="1864"/>
      <c r="E134" s="1864"/>
      <c r="F134" s="1864"/>
      <c r="G134" s="149"/>
    </row>
    <row r="135" spans="1:7" customFormat="1" ht="13.9" customHeight="1">
      <c r="A135" s="132"/>
      <c r="B135" s="675"/>
      <c r="C135" s="10"/>
      <c r="D135" s="326"/>
      <c r="E135" s="151"/>
      <c r="F135" s="151"/>
      <c r="G135" s="149"/>
    </row>
    <row r="136" spans="1:7" s="716" customFormat="1" ht="13.9" customHeight="1">
      <c r="A136" s="704"/>
      <c r="B136" s="717" t="s">
        <v>315</v>
      </c>
      <c r="C136" s="10"/>
      <c r="D136" s="1862" t="s">
        <v>1371</v>
      </c>
      <c r="E136" s="1862"/>
      <c r="F136" s="1862"/>
      <c r="G136" s="149"/>
    </row>
    <row r="137" spans="1:7" s="716" customFormat="1" ht="13.9" customHeight="1">
      <c r="A137" s="704"/>
      <c r="B137" s="704"/>
      <c r="C137" s="10"/>
      <c r="D137" s="1862"/>
      <c r="E137" s="1862"/>
      <c r="F137" s="1862"/>
      <c r="G137" s="149"/>
    </row>
    <row r="138" spans="1:7" s="716" customFormat="1" ht="13.9" customHeight="1">
      <c r="A138" s="704"/>
      <c r="B138" s="704"/>
      <c r="C138" s="10"/>
      <c r="D138" s="1862"/>
      <c r="E138" s="1862"/>
      <c r="F138" s="1862"/>
      <c r="G138" s="149"/>
    </row>
    <row r="139" spans="1:7" s="716" customFormat="1" ht="13.9" customHeight="1">
      <c r="A139" s="704"/>
      <c r="B139" s="704"/>
      <c r="C139" s="10"/>
      <c r="D139" s="1862"/>
      <c r="E139" s="1862"/>
      <c r="F139" s="1862"/>
      <c r="G139" s="149"/>
    </row>
    <row r="140" spans="1:7" s="716" customFormat="1" ht="13.9" customHeight="1">
      <c r="A140" s="704"/>
      <c r="B140" s="704"/>
      <c r="C140" s="10"/>
      <c r="D140" s="1862"/>
      <c r="E140" s="1862"/>
      <c r="F140" s="1862"/>
      <c r="G140" s="149"/>
    </row>
    <row r="141" spans="1:7" s="716" customFormat="1" ht="13.9" customHeight="1">
      <c r="A141" s="704"/>
      <c r="B141" s="704"/>
      <c r="C141" s="10"/>
      <c r="D141" s="1862"/>
      <c r="E141" s="1862"/>
      <c r="F141" s="1862"/>
      <c r="G141" s="149"/>
    </row>
    <row r="142" spans="1:7" s="716" customFormat="1" ht="13.9" customHeight="1">
      <c r="A142" s="704"/>
      <c r="B142" s="704"/>
      <c r="C142" s="10"/>
      <c r="D142" s="1862"/>
      <c r="E142" s="1862"/>
      <c r="F142" s="1862"/>
      <c r="G142" s="149"/>
    </row>
    <row r="143" spans="1:7" s="716" customFormat="1" ht="13.9" customHeight="1">
      <c r="A143" s="704"/>
      <c r="B143" s="704"/>
      <c r="C143" s="10"/>
      <c r="D143" s="1862"/>
      <c r="E143" s="1862"/>
      <c r="F143" s="1862"/>
      <c r="G143" s="149"/>
    </row>
    <row r="144" spans="1:7" s="716" customFormat="1" ht="13.9" customHeight="1">
      <c r="A144" s="704"/>
      <c r="B144" s="704"/>
      <c r="C144" s="10"/>
      <c r="D144" s="1862"/>
      <c r="E144" s="1862"/>
      <c r="F144" s="1862"/>
      <c r="G144" s="149"/>
    </row>
    <row r="145" spans="1:7" s="716" customFormat="1" ht="13.9" customHeight="1">
      <c r="A145" s="704"/>
      <c r="B145" s="704"/>
      <c r="C145" s="10"/>
      <c r="D145" s="1862"/>
      <c r="E145" s="1862"/>
      <c r="F145" s="1862"/>
      <c r="G145" s="149"/>
    </row>
    <row r="146" spans="1:7" s="716" customFormat="1" ht="13.9" customHeight="1">
      <c r="A146" s="746"/>
      <c r="B146" s="746"/>
      <c r="C146" s="10"/>
      <c r="D146" s="1862"/>
      <c r="E146" s="1862"/>
      <c r="F146" s="1862"/>
      <c r="G146" s="149"/>
    </row>
    <row r="147" spans="1:7" s="716" customFormat="1" ht="13.9" customHeight="1">
      <c r="A147" s="746"/>
      <c r="B147" s="746"/>
      <c r="C147" s="10"/>
      <c r="D147" s="1862"/>
      <c r="E147" s="1862"/>
      <c r="F147" s="1862"/>
      <c r="G147" s="149"/>
    </row>
    <row r="148" spans="1:7" s="716" customFormat="1" ht="13.9" customHeight="1">
      <c r="A148" s="704"/>
      <c r="B148" s="704"/>
      <c r="C148" s="10"/>
      <c r="D148" s="1862"/>
      <c r="E148" s="1862"/>
      <c r="F148" s="1862"/>
      <c r="G148" s="149"/>
    </row>
    <row r="149" spans="1:7" s="716" customFormat="1" ht="13.9" customHeight="1">
      <c r="A149" s="704"/>
      <c r="B149" s="704"/>
      <c r="C149" s="10"/>
      <c r="D149" s="1862"/>
      <c r="E149" s="1862"/>
      <c r="F149" s="1862"/>
      <c r="G149" s="149"/>
    </row>
    <row r="150" spans="1:7" s="716" customFormat="1" ht="13.9" customHeight="1">
      <c r="A150" s="704"/>
      <c r="B150" s="704"/>
      <c r="C150" s="10"/>
      <c r="D150" s="1862"/>
      <c r="E150" s="1862"/>
      <c r="F150" s="1862"/>
      <c r="G150" s="149"/>
    </row>
    <row r="151" spans="1:7" s="716" customFormat="1" ht="13.9" customHeight="1">
      <c r="A151" s="704"/>
      <c r="B151" s="704"/>
      <c r="C151" s="10"/>
      <c r="D151" s="1862"/>
      <c r="E151" s="1862"/>
      <c r="F151" s="1862"/>
      <c r="G151" s="149"/>
    </row>
    <row r="152" spans="1:7" s="716" customFormat="1" ht="13.9" customHeight="1">
      <c r="A152" s="704"/>
      <c r="B152" s="704"/>
      <c r="C152" s="10"/>
      <c r="D152" s="1862"/>
      <c r="E152" s="1862"/>
      <c r="F152" s="1862"/>
      <c r="G152" s="149"/>
    </row>
    <row r="153" spans="1:7" s="716" customFormat="1" ht="13.9" customHeight="1">
      <c r="A153" s="704"/>
      <c r="B153" s="704"/>
      <c r="C153" s="10"/>
      <c r="D153" s="1862"/>
      <c r="E153" s="1862"/>
      <c r="F153" s="1862"/>
      <c r="G153" s="149"/>
    </row>
    <row r="154" spans="1:7" s="716" customFormat="1" ht="13.9" customHeight="1">
      <c r="A154" s="704"/>
      <c r="B154" s="704"/>
      <c r="C154" s="10"/>
      <c r="D154" s="1862"/>
      <c r="E154" s="1862"/>
      <c r="F154" s="1862"/>
      <c r="G154" s="149"/>
    </row>
    <row r="155" spans="1:7" s="716" customFormat="1" ht="13.9" customHeight="1">
      <c r="A155" s="704"/>
      <c r="B155" s="704"/>
      <c r="C155" s="10"/>
      <c r="D155" s="326"/>
      <c r="E155" s="151"/>
      <c r="F155" s="151"/>
      <c r="G155" s="149"/>
    </row>
    <row r="156" spans="1:7" customFormat="1" ht="13.9" customHeight="1">
      <c r="A156" s="377"/>
      <c r="B156" s="678" t="s">
        <v>315</v>
      </c>
      <c r="C156" s="324"/>
      <c r="D156" s="1922" t="s">
        <v>1264</v>
      </c>
      <c r="E156" s="1922"/>
      <c r="F156" s="1922"/>
      <c r="G156" s="443"/>
    </row>
    <row r="157" spans="1:7" customFormat="1" ht="13.9" customHeight="1">
      <c r="A157" s="377"/>
      <c r="B157" s="377"/>
      <c r="C157" s="324"/>
      <c r="D157" s="1922"/>
      <c r="E157" s="1922"/>
      <c r="F157" s="1922"/>
      <c r="G157" s="443"/>
    </row>
    <row r="158" spans="1:7" customFormat="1" ht="13.9" customHeight="1">
      <c r="A158" s="377"/>
      <c r="B158" s="377"/>
      <c r="C158" s="324"/>
      <c r="D158" s="326"/>
      <c r="E158" s="324"/>
      <c r="F158" s="324"/>
      <c r="G158" s="443"/>
    </row>
    <row r="159" spans="1:7" customFormat="1" ht="13.9" customHeight="1">
      <c r="A159" s="377"/>
      <c r="B159" s="678" t="s">
        <v>315</v>
      </c>
      <c r="C159" s="324"/>
      <c r="D159" s="1865" t="s">
        <v>1265</v>
      </c>
      <c r="E159" s="1865"/>
      <c r="F159" s="1865"/>
      <c r="G159" s="443"/>
    </row>
    <row r="160" spans="1:7" customFormat="1" ht="13.9" customHeight="1">
      <c r="A160" s="377"/>
      <c r="B160" s="377"/>
      <c r="C160" s="324"/>
      <c r="D160" s="1865"/>
      <c r="E160" s="1865"/>
      <c r="F160" s="1865"/>
      <c r="G160" s="443"/>
    </row>
    <row r="161" spans="1:7" customFormat="1" ht="13.9" customHeight="1">
      <c r="A161" s="377"/>
      <c r="B161" s="377"/>
      <c r="C161" s="324"/>
      <c r="D161" s="1865"/>
      <c r="E161" s="1865"/>
      <c r="F161" s="1865"/>
      <c r="G161" s="443"/>
    </row>
    <row r="162" spans="1:7" customFormat="1" ht="13.9" customHeight="1">
      <c r="A162" s="377"/>
      <c r="B162" s="377"/>
      <c r="C162" s="324"/>
      <c r="D162" s="1865"/>
      <c r="E162" s="1865"/>
      <c r="F162" s="1865"/>
      <c r="G162" s="443"/>
    </row>
    <row r="163" spans="1:7" customFormat="1" ht="13.9" customHeight="1">
      <c r="A163" s="132"/>
      <c r="B163" s="675"/>
      <c r="C163" s="10"/>
      <c r="D163" s="151"/>
      <c r="E163" s="151"/>
      <c r="F163" s="151"/>
      <c r="G163" s="149"/>
    </row>
    <row r="164" spans="1:7" customFormat="1" ht="13.9" customHeight="1">
      <c r="A164" s="132"/>
      <c r="B164" s="678" t="s">
        <v>315</v>
      </c>
      <c r="C164" s="10"/>
      <c r="D164" s="1910" t="s">
        <v>1266</v>
      </c>
      <c r="E164" s="1910"/>
      <c r="F164" s="1910"/>
      <c r="G164" s="149"/>
    </row>
    <row r="165" spans="1:7" customFormat="1" ht="13.9" customHeight="1">
      <c r="A165" s="132"/>
      <c r="B165" s="675"/>
      <c r="C165" s="10"/>
      <c r="D165" s="1910"/>
      <c r="E165" s="1910"/>
      <c r="F165" s="1910"/>
      <c r="G165" s="149"/>
    </row>
    <row r="166" spans="1:7" customFormat="1" ht="13.9" customHeight="1">
      <c r="A166" s="132"/>
      <c r="B166" s="675"/>
      <c r="C166" s="10"/>
      <c r="D166" s="1910"/>
      <c r="E166" s="1910"/>
      <c r="F166" s="1910"/>
      <c r="G166" s="149"/>
    </row>
    <row r="167" spans="1:7" customFormat="1" ht="13.9" customHeight="1">
      <c r="A167" s="23"/>
      <c r="B167" s="674"/>
      <c r="C167" s="10"/>
      <c r="D167" s="7"/>
      <c r="E167" s="151"/>
      <c r="F167" s="151"/>
      <c r="G167" s="149"/>
    </row>
    <row r="168" spans="1:7">
      <c r="A168" s="1888" t="s">
        <v>1160</v>
      </c>
      <c r="B168" s="1888"/>
      <c r="C168" s="1888"/>
      <c r="D168" s="1888"/>
      <c r="E168" s="1888"/>
      <c r="F168" s="1888"/>
      <c r="G168" s="1888"/>
    </row>
    <row r="169" spans="1:7" ht="12" customHeight="1">
      <c r="D169" s="135"/>
      <c r="E169" s="135"/>
      <c r="F169" s="135"/>
    </row>
    <row r="170" spans="1:7">
      <c r="B170" s="1884" t="s">
        <v>469</v>
      </c>
      <c r="C170" s="1884"/>
      <c r="D170" s="1884"/>
      <c r="E170" s="1884"/>
      <c r="F170" s="1884"/>
    </row>
    <row r="171" spans="1:7" ht="12" customHeight="1">
      <c r="A171" s="254"/>
      <c r="B171" s="672"/>
      <c r="C171" s="254"/>
    </row>
    <row r="172" spans="1:7">
      <c r="A172" s="1888" t="s">
        <v>1161</v>
      </c>
      <c r="B172" s="1888"/>
      <c r="C172" s="1888"/>
      <c r="D172" s="1888"/>
      <c r="E172" s="1888"/>
      <c r="F172" s="1888"/>
      <c r="G172" s="1888"/>
    </row>
    <row r="173" spans="1:7" ht="12" customHeight="1">
      <c r="A173" s="263"/>
      <c r="B173" s="263"/>
      <c r="C173" s="264"/>
      <c r="D173" s="57"/>
      <c r="E173" s="49"/>
      <c r="F173" s="57"/>
      <c r="G173" s="57"/>
    </row>
    <row r="174" spans="1:7" ht="13.35" customHeight="1">
      <c r="A174" s="263"/>
      <c r="B174" s="263"/>
      <c r="C174" s="264"/>
      <c r="D174" s="1924" t="s">
        <v>1269</v>
      </c>
      <c r="E174" s="1924"/>
      <c r="F174" s="1924"/>
      <c r="G174" s="57"/>
    </row>
    <row r="175" spans="1:7">
      <c r="A175" s="263"/>
      <c r="B175" s="263"/>
      <c r="C175" s="264"/>
      <c r="D175" s="1924"/>
      <c r="E175" s="1924"/>
      <c r="F175" s="1924"/>
      <c r="G175" s="57"/>
    </row>
    <row r="176" spans="1:7" s="718" customFormat="1">
      <c r="A176" s="720"/>
      <c r="B176" s="720"/>
      <c r="C176" s="264"/>
      <c r="D176" s="1925" t="s">
        <v>1270</v>
      </c>
      <c r="E176" s="1925"/>
      <c r="F176" s="1925"/>
      <c r="G176" s="57"/>
    </row>
    <row r="177" spans="1:7" ht="12" customHeight="1">
      <c r="A177" s="263"/>
      <c r="B177" s="263"/>
      <c r="C177" s="264"/>
      <c r="D177" s="57"/>
      <c r="E177" s="49"/>
      <c r="F177" s="57"/>
      <c r="G177" s="57"/>
    </row>
    <row r="178" spans="1:7" ht="14.25">
      <c r="A178" s="260"/>
      <c r="B178" s="678" t="s">
        <v>315</v>
      </c>
      <c r="C178" s="264"/>
      <c r="D178" s="1923" t="s">
        <v>1268</v>
      </c>
      <c r="E178" s="1923"/>
      <c r="F178" s="1923"/>
      <c r="G178" s="57"/>
    </row>
    <row r="179" spans="1:7" ht="14.25">
      <c r="A179" s="260"/>
      <c r="B179" s="260"/>
      <c r="C179" s="264"/>
      <c r="D179" s="1923"/>
      <c r="E179" s="1923"/>
      <c r="F179" s="1923"/>
      <c r="G179" s="57"/>
    </row>
    <row r="180" spans="1:7" ht="14.25">
      <c r="A180" s="260"/>
      <c r="B180" s="260"/>
      <c r="C180" s="264"/>
      <c r="D180" s="1923"/>
      <c r="E180" s="1923"/>
      <c r="F180" s="1923"/>
      <c r="G180" s="57"/>
    </row>
    <row r="181" spans="1:7">
      <c r="A181" s="264"/>
      <c r="B181" s="264"/>
      <c r="C181" s="264"/>
      <c r="D181" s="1923"/>
      <c r="E181" s="1923"/>
      <c r="F181" s="1923"/>
    </row>
    <row r="182" spans="1:7">
      <c r="A182" s="264"/>
      <c r="B182" s="264"/>
      <c r="C182" s="264"/>
      <c r="D182" s="403"/>
      <c r="E182" s="57"/>
      <c r="F182" s="57"/>
    </row>
    <row r="183" spans="1:7">
      <c r="A183" s="264"/>
      <c r="B183" s="264"/>
      <c r="C183" s="264"/>
      <c r="D183" s="1927" t="s">
        <v>1177</v>
      </c>
      <c r="E183" s="1927"/>
      <c r="F183" s="1927"/>
    </row>
    <row r="184" spans="1:7">
      <c r="A184" s="264"/>
      <c r="B184" s="264"/>
      <c r="C184" s="264"/>
      <c r="D184" s="1927"/>
      <c r="E184" s="1927"/>
      <c r="F184" s="1927"/>
    </row>
    <row r="185" spans="1:7" s="681" customFormat="1">
      <c r="A185" s="264"/>
      <c r="B185" s="264"/>
      <c r="C185" s="264"/>
      <c r="D185" s="695"/>
      <c r="E185" s="695"/>
      <c r="F185" s="695"/>
      <c r="G185" s="7"/>
    </row>
    <row r="186" spans="1:7" s="676" customFormat="1" ht="14.25">
      <c r="A186" s="260"/>
      <c r="B186" s="678" t="s">
        <v>315</v>
      </c>
      <c r="C186" s="556"/>
      <c r="D186" s="1862" t="s">
        <v>1267</v>
      </c>
      <c r="E186" s="1862"/>
      <c r="F186" s="1862"/>
      <c r="G186" s="677"/>
    </row>
    <row r="187" spans="1:7" s="676" customFormat="1" ht="14.65" customHeight="1">
      <c r="A187" s="260"/>
      <c r="C187" s="556"/>
      <c r="D187" s="1862"/>
      <c r="E187" s="1862"/>
      <c r="F187" s="1862"/>
      <c r="G187" s="677"/>
    </row>
    <row r="188" spans="1:7" s="676" customFormat="1" ht="14.25">
      <c r="A188" s="260"/>
      <c r="B188" s="696"/>
      <c r="C188" s="556"/>
      <c r="D188" s="1862"/>
      <c r="E188" s="1862"/>
      <c r="F188" s="1862"/>
      <c r="G188" s="677"/>
    </row>
    <row r="189" spans="1:7" s="676" customFormat="1" ht="14.25">
      <c r="A189" s="260"/>
      <c r="B189" s="696"/>
      <c r="C189" s="556"/>
      <c r="D189" s="1862"/>
      <c r="E189" s="1862"/>
      <c r="F189" s="1862"/>
      <c r="G189" s="677"/>
    </row>
    <row r="190" spans="1:7" s="681" customFormat="1">
      <c r="A190" s="264"/>
      <c r="B190" s="264"/>
      <c r="C190" s="264"/>
      <c r="D190" s="695"/>
      <c r="E190" s="695"/>
      <c r="F190" s="695"/>
      <c r="G190" s="7"/>
    </row>
    <row r="191" spans="1:7">
      <c r="A191" s="1888" t="s">
        <v>1162</v>
      </c>
      <c r="B191" s="1888"/>
      <c r="C191" s="1888"/>
      <c r="D191" s="1888"/>
      <c r="E191" s="1888"/>
      <c r="F191" s="1888"/>
      <c r="G191" s="1888"/>
    </row>
    <row r="192" spans="1:7" ht="12" customHeight="1">
      <c r="D192" s="135"/>
      <c r="E192" s="135"/>
      <c r="F192" s="135"/>
    </row>
    <row r="193" spans="1:6">
      <c r="C193" s="261"/>
      <c r="D193" s="1926" t="s">
        <v>213</v>
      </c>
      <c r="E193" s="1926"/>
      <c r="F193" s="1926"/>
    </row>
    <row r="194" spans="1:6">
      <c r="A194" s="254"/>
      <c r="B194" s="672"/>
      <c r="C194" s="254"/>
      <c r="D194" s="1894" t="s">
        <v>1291</v>
      </c>
      <c r="E194" s="1895"/>
      <c r="F194" s="1895"/>
    </row>
    <row r="195" spans="1:6" ht="12" customHeight="1">
      <c r="A195" s="23"/>
      <c r="B195" s="674"/>
      <c r="C195" s="23"/>
    </row>
    <row r="196" spans="1:6" ht="13.35" customHeight="1">
      <c r="A196" s="23"/>
      <c r="C196" s="23"/>
      <c r="D196" s="1886" t="s">
        <v>578</v>
      </c>
      <c r="E196" s="1886"/>
      <c r="F196" s="1886"/>
    </row>
    <row r="197" spans="1:6" ht="14.25">
      <c r="A197" s="260"/>
      <c r="B197" s="678" t="s">
        <v>315</v>
      </c>
      <c r="D197" s="1862" t="s">
        <v>1285</v>
      </c>
      <c r="E197" s="1862"/>
      <c r="F197" s="1862"/>
    </row>
    <row r="198" spans="1:6" ht="14.25">
      <c r="A198" s="260"/>
      <c r="B198" s="260"/>
      <c r="D198" s="1862"/>
      <c r="E198" s="1862"/>
      <c r="F198" s="1862"/>
    </row>
    <row r="199" spans="1:6"/>
    <row r="200" spans="1:6" ht="14.25">
      <c r="A200" s="260"/>
      <c r="B200" s="678" t="s">
        <v>315</v>
      </c>
      <c r="D200" s="1862" t="s">
        <v>1286</v>
      </c>
      <c r="E200" s="1862"/>
      <c r="F200" s="1862"/>
    </row>
    <row r="201" spans="1:6" ht="14.25">
      <c r="A201" s="260"/>
      <c r="B201" s="260"/>
      <c r="D201" s="1862"/>
      <c r="E201" s="1862"/>
      <c r="F201" s="1862"/>
    </row>
    <row r="202" spans="1:6" ht="14.25">
      <c r="A202" s="260"/>
      <c r="B202" s="260"/>
      <c r="D202" s="1862"/>
      <c r="E202" s="1862"/>
      <c r="F202" s="1862"/>
    </row>
    <row r="203" spans="1:6" ht="5.0999999999999996" customHeight="1">
      <c r="A203" s="260"/>
      <c r="B203" s="260"/>
      <c r="D203" s="151"/>
      <c r="E203" s="135"/>
      <c r="F203" s="135"/>
    </row>
    <row r="204" spans="1:6" ht="14.25">
      <c r="A204" s="260"/>
      <c r="B204" s="260"/>
      <c r="D204" s="1862" t="s">
        <v>1287</v>
      </c>
      <c r="E204" s="1862"/>
      <c r="F204" s="1862"/>
    </row>
    <row r="205" spans="1:6" ht="14.25">
      <c r="A205" s="260"/>
      <c r="B205" s="260"/>
      <c r="D205" s="1862"/>
      <c r="E205" s="1862"/>
      <c r="F205" s="1862"/>
    </row>
    <row r="206" spans="1:6" ht="14.25">
      <c r="A206" s="260"/>
      <c r="B206" s="260"/>
      <c r="D206" s="1862"/>
      <c r="E206" s="1862"/>
      <c r="F206" s="1862"/>
    </row>
    <row r="207" spans="1:6" ht="14.25">
      <c r="A207" s="260"/>
      <c r="B207" s="260"/>
      <c r="D207" s="1862"/>
      <c r="E207" s="1862"/>
      <c r="F207" s="1862"/>
    </row>
    <row r="208" spans="1:6" ht="14.25">
      <c r="A208" s="260"/>
      <c r="B208" s="260"/>
      <c r="D208" s="1862"/>
      <c r="E208" s="1862"/>
      <c r="F208" s="1862"/>
    </row>
    <row r="209" spans="1:7" ht="14.25">
      <c r="A209" s="260"/>
      <c r="B209" s="260"/>
      <c r="D209" s="135"/>
      <c r="E209" s="135"/>
      <c r="F209" s="135"/>
    </row>
    <row r="210" spans="1:7" ht="14.25">
      <c r="A210" s="260"/>
      <c r="B210" s="678" t="s">
        <v>315</v>
      </c>
      <c r="D210" s="1883" t="s">
        <v>1288</v>
      </c>
      <c r="E210" s="1883"/>
      <c r="F210" s="1883"/>
    </row>
    <row r="211" spans="1:7" ht="14.25">
      <c r="A211" s="260"/>
      <c r="B211" s="260"/>
      <c r="D211" s="1883"/>
      <c r="E211" s="1883"/>
      <c r="F211" s="1883"/>
    </row>
    <row r="212" spans="1:7" ht="14.25">
      <c r="A212" s="260"/>
      <c r="B212" s="260"/>
      <c r="D212" s="1884" t="s">
        <v>962</v>
      </c>
      <c r="E212" s="1884"/>
      <c r="F212" s="1884"/>
    </row>
    <row r="213" spans="1:7" ht="14.25">
      <c r="A213" s="260"/>
      <c r="B213" s="260"/>
      <c r="D213" s="135"/>
      <c r="E213" s="135"/>
      <c r="F213" s="135"/>
    </row>
    <row r="214" spans="1:7" ht="14.65" customHeight="1">
      <c r="A214" s="260"/>
      <c r="B214" s="678" t="s">
        <v>315</v>
      </c>
      <c r="D214" s="1883" t="s">
        <v>1290</v>
      </c>
      <c r="E214" s="1883"/>
      <c r="F214" s="1883"/>
    </row>
    <row r="215" spans="1:7" ht="14.25">
      <c r="A215" s="260"/>
      <c r="B215" s="260"/>
      <c r="D215" s="1883"/>
      <c r="E215" s="1883"/>
      <c r="F215" s="1883"/>
    </row>
    <row r="216" spans="1:7" ht="14.25">
      <c r="A216" s="260"/>
      <c r="B216" s="260"/>
      <c r="D216" s="1883"/>
      <c r="E216" s="1883"/>
      <c r="F216" s="1883"/>
    </row>
    <row r="217" spans="1:7" ht="14.25">
      <c r="A217" s="260"/>
      <c r="B217" s="260"/>
      <c r="D217" s="1883"/>
      <c r="E217" s="1883"/>
      <c r="F217" s="1883"/>
    </row>
    <row r="218" spans="1:7" ht="14.25">
      <c r="A218" s="260"/>
      <c r="B218" s="260"/>
      <c r="D218" s="1883"/>
      <c r="E218" s="1883"/>
      <c r="F218" s="1883"/>
    </row>
    <row r="219" spans="1:7">
      <c r="D219" s="135"/>
      <c r="E219" s="135"/>
      <c r="F219" s="135"/>
    </row>
    <row r="220" spans="1:7" ht="14.25">
      <c r="A220" s="260"/>
      <c r="B220" s="678" t="s">
        <v>315</v>
      </c>
      <c r="D220" s="1862" t="s">
        <v>1289</v>
      </c>
      <c r="E220" s="1862"/>
      <c r="F220" s="1862"/>
    </row>
    <row r="221" spans="1:7" ht="14.25">
      <c r="A221" s="260"/>
      <c r="B221" s="260"/>
      <c r="D221" s="1862"/>
      <c r="E221" s="1862"/>
      <c r="F221" s="1862"/>
    </row>
    <row r="222" spans="1:7">
      <c r="D222" s="29"/>
    </row>
    <row r="223" spans="1:7">
      <c r="A223" s="1888" t="s">
        <v>1163</v>
      </c>
      <c r="B223" s="1888"/>
      <c r="C223" s="1888"/>
      <c r="D223" s="1888"/>
      <c r="E223" s="1888"/>
      <c r="F223" s="1888"/>
      <c r="G223" s="1888"/>
    </row>
    <row r="224" spans="1:7">
      <c r="D224" s="29"/>
    </row>
    <row r="225" spans="1:6">
      <c r="C225" s="261"/>
      <c r="D225" s="1886" t="s">
        <v>1292</v>
      </c>
      <c r="E225" s="1886"/>
      <c r="F225" s="1886"/>
    </row>
    <row r="226" spans="1:6">
      <c r="A226" s="254"/>
      <c r="B226" s="672"/>
      <c r="C226" s="254"/>
      <c r="D226" s="135"/>
      <c r="E226" s="135"/>
      <c r="F226" s="135"/>
    </row>
    <row r="227" spans="1:6">
      <c r="A227" s="259"/>
      <c r="B227" s="259"/>
      <c r="C227" s="259"/>
      <c r="D227" s="1886" t="s">
        <v>274</v>
      </c>
      <c r="E227" s="1886"/>
      <c r="F227" s="1886"/>
    </row>
    <row r="228" spans="1:6" ht="14.25">
      <c r="A228" s="260"/>
      <c r="B228" s="678" t="s">
        <v>315</v>
      </c>
      <c r="D228" s="1936" t="s">
        <v>1293</v>
      </c>
      <c r="E228" s="1936"/>
      <c r="F228" s="1936"/>
    </row>
    <row r="229" spans="1:6" ht="14.25">
      <c r="A229" s="260"/>
      <c r="B229" s="260"/>
      <c r="D229" s="1936"/>
      <c r="E229" s="1936"/>
      <c r="F229" s="1936"/>
    </row>
    <row r="230" spans="1:6">
      <c r="D230" s="135"/>
      <c r="E230" s="135"/>
      <c r="F230" s="135"/>
    </row>
    <row r="231" spans="1:6" ht="14.65" customHeight="1">
      <c r="A231" s="260"/>
      <c r="B231" s="678" t="s">
        <v>315</v>
      </c>
      <c r="D231" s="1883" t="s">
        <v>1294</v>
      </c>
      <c r="E231" s="1883"/>
      <c r="F231" s="1883"/>
    </row>
    <row r="232" spans="1:6">
      <c r="D232" s="1883"/>
      <c r="E232" s="1883"/>
      <c r="F232" s="1883"/>
    </row>
    <row r="233" spans="1:6">
      <c r="D233" s="1895" t="s">
        <v>953</v>
      </c>
      <c r="E233" s="1895"/>
      <c r="F233" s="1895"/>
    </row>
    <row r="234" spans="1:6">
      <c r="D234" s="135"/>
      <c r="E234" s="135"/>
      <c r="F234" s="135"/>
    </row>
    <row r="235" spans="1:6" ht="14.65" customHeight="1">
      <c r="A235" s="260"/>
      <c r="B235" s="678" t="s">
        <v>315</v>
      </c>
      <c r="D235" s="1883" t="s">
        <v>1296</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4.25">
      <c r="A241" s="260"/>
      <c r="B241" s="678" t="s">
        <v>315</v>
      </c>
      <c r="D241" s="1862" t="s">
        <v>1295</v>
      </c>
      <c r="E241" s="1862"/>
      <c r="F241" s="1862"/>
    </row>
    <row r="242" spans="1:7">
      <c r="D242" s="1862"/>
      <c r="E242" s="1862"/>
      <c r="F242" s="1862"/>
    </row>
    <row r="243" spans="1:7">
      <c r="D243" s="1862"/>
      <c r="E243" s="1862"/>
      <c r="F243" s="1862"/>
    </row>
    <row r="244" spans="1:7">
      <c r="D244" s="262"/>
      <c r="E244" s="135"/>
      <c r="F244" s="135"/>
    </row>
    <row r="245" spans="1:7">
      <c r="A245" s="1888" t="s">
        <v>1164</v>
      </c>
      <c r="B245" s="1888"/>
      <c r="C245" s="1888"/>
      <c r="D245" s="1888"/>
      <c r="E245" s="1888"/>
      <c r="F245" s="1888"/>
      <c r="G245" s="1888"/>
    </row>
    <row r="246" spans="1:7">
      <c r="D246" s="262"/>
      <c r="E246" s="135"/>
      <c r="F246" s="135"/>
    </row>
    <row r="247" spans="1:7">
      <c r="C247" s="254"/>
      <c r="D247" s="1904" t="s">
        <v>1297</v>
      </c>
      <c r="E247" s="1904"/>
      <c r="F247" s="1904"/>
    </row>
    <row r="248" spans="1:7">
      <c r="C248" s="254"/>
      <c r="D248" s="1904"/>
      <c r="E248" s="1904"/>
      <c r="F248" s="1904"/>
    </row>
    <row r="249" spans="1:7">
      <c r="A249" s="259"/>
      <c r="B249" s="259"/>
      <c r="C249" s="259"/>
      <c r="D249" s="5"/>
      <c r="E249" s="6"/>
      <c r="F249" s="6"/>
    </row>
    <row r="250" spans="1:7">
      <c r="C250" s="259"/>
      <c r="D250" s="1886" t="s">
        <v>214</v>
      </c>
      <c r="E250" s="1886"/>
      <c r="F250" s="1886"/>
    </row>
    <row r="251" spans="1:7" ht="15.75" customHeight="1">
      <c r="A251" s="260"/>
      <c r="B251" s="260"/>
      <c r="D251" s="1892" t="s">
        <v>1298</v>
      </c>
      <c r="E251" s="1892"/>
      <c r="F251" s="1892"/>
    </row>
    <row r="252" spans="1:7">
      <c r="E252" s="135"/>
      <c r="F252" s="135"/>
    </row>
    <row r="253" spans="1:7" ht="14.25">
      <c r="A253" s="260"/>
      <c r="B253" s="678" t="s">
        <v>315</v>
      </c>
      <c r="D253" s="1862" t="s">
        <v>1299</v>
      </c>
      <c r="E253" s="1862"/>
      <c r="F253" s="1862"/>
    </row>
    <row r="254" spans="1:7" ht="14.25">
      <c r="A254" s="260"/>
      <c r="B254" s="260"/>
      <c r="D254" s="1862"/>
      <c r="E254" s="1862"/>
      <c r="F254" s="1862"/>
    </row>
    <row r="255" spans="1:7">
      <c r="D255" s="135"/>
      <c r="E255" s="135"/>
      <c r="F255" s="135"/>
    </row>
    <row r="256" spans="1:7" ht="14.25">
      <c r="A256" s="260"/>
      <c r="B256" s="678" t="s">
        <v>315</v>
      </c>
      <c r="D256" s="1883" t="s">
        <v>1300</v>
      </c>
      <c r="E256" s="1883"/>
      <c r="F256" s="1883"/>
    </row>
    <row r="257" spans="1:7" ht="14.25">
      <c r="A257" s="260"/>
      <c r="B257" s="260"/>
      <c r="D257" s="1883"/>
      <c r="E257" s="1883"/>
      <c r="F257" s="1883"/>
    </row>
    <row r="258" spans="1:7" ht="14.25">
      <c r="A258" s="260"/>
      <c r="B258" s="260"/>
      <c r="D258" s="1883"/>
      <c r="E258" s="1883"/>
      <c r="F258" s="1883"/>
    </row>
    <row r="259" spans="1:7">
      <c r="D259" s="135"/>
      <c r="E259" s="135"/>
      <c r="F259" s="135"/>
    </row>
    <row r="260" spans="1:7" ht="14.25">
      <c r="A260" s="260"/>
      <c r="B260" s="678" t="s">
        <v>315</v>
      </c>
      <c r="D260" s="1862" t="s">
        <v>1301</v>
      </c>
      <c r="E260" s="1862"/>
      <c r="F260" s="1862"/>
    </row>
    <row r="261" spans="1:7" ht="14.25">
      <c r="A261" s="260"/>
      <c r="B261" s="260"/>
      <c r="D261" s="1862"/>
      <c r="E261" s="1862"/>
      <c r="F261" s="1862"/>
    </row>
    <row r="262" spans="1:7">
      <c r="A262" s="23"/>
      <c r="B262" s="674"/>
      <c r="E262" s="135"/>
      <c r="F262" s="135"/>
    </row>
    <row r="263" spans="1:7">
      <c r="A263" s="1888" t="s">
        <v>1165</v>
      </c>
      <c r="B263" s="1888"/>
      <c r="C263" s="1888"/>
      <c r="D263" s="1888"/>
      <c r="E263" s="1888"/>
      <c r="F263" s="1888"/>
      <c r="G263" s="1888"/>
    </row>
    <row r="264" spans="1:7">
      <c r="A264" s="23"/>
      <c r="B264" s="674"/>
      <c r="D264" s="135"/>
      <c r="E264" s="135"/>
      <c r="F264" s="135"/>
    </row>
    <row r="265" spans="1:7">
      <c r="C265" s="23"/>
      <c r="D265" s="1886" t="s">
        <v>718</v>
      </c>
      <c r="E265" s="1886"/>
      <c r="F265" s="1886"/>
    </row>
    <row r="266" spans="1:7">
      <c r="C266" s="23"/>
      <c r="D266" s="1887" t="s">
        <v>1302</v>
      </c>
      <c r="E266" s="1887"/>
      <c r="F266" s="1887"/>
    </row>
    <row r="267" spans="1:7">
      <c r="C267" s="23"/>
      <c r="D267" s="258"/>
    </row>
    <row r="268" spans="1:7">
      <c r="A268" s="272"/>
      <c r="B268" s="678" t="s">
        <v>315</v>
      </c>
      <c r="D268" s="1887" t="s">
        <v>1303</v>
      </c>
      <c r="E268" s="1887"/>
      <c r="F268" s="1887"/>
    </row>
    <row r="269" spans="1:7" s="39" customFormat="1" ht="14.25">
      <c r="A269" s="402"/>
      <c r="B269" s="402"/>
      <c r="C269" s="272"/>
      <c r="D269" s="496"/>
      <c r="E269" s="497"/>
      <c r="F269" s="497"/>
      <c r="G269" s="130"/>
    </row>
    <row r="270" spans="1:7" s="39" customFormat="1" ht="13.35" customHeight="1">
      <c r="A270" s="272"/>
      <c r="B270" s="678" t="s">
        <v>315</v>
      </c>
      <c r="C270" s="272"/>
      <c r="D270" s="1937" t="s">
        <v>1304</v>
      </c>
      <c r="E270" s="1937"/>
      <c r="F270" s="1937"/>
      <c r="G270" s="130"/>
    </row>
    <row r="271" spans="1:7" s="39" customFormat="1" ht="14.25">
      <c r="A271" s="402"/>
      <c r="B271" s="402"/>
      <c r="C271" s="272"/>
      <c r="D271" s="1937"/>
      <c r="E271" s="1937"/>
      <c r="F271" s="1937"/>
      <c r="G271" s="130"/>
    </row>
    <row r="272" spans="1:7" s="39" customFormat="1" ht="14.25">
      <c r="A272" s="402"/>
      <c r="B272" s="402"/>
      <c r="C272" s="272"/>
      <c r="D272" s="1937"/>
      <c r="E272" s="1937"/>
      <c r="F272" s="1937"/>
      <c r="G272" s="130"/>
    </row>
    <row r="273" spans="1:7" s="39" customFormat="1" ht="14.25">
      <c r="A273" s="402"/>
      <c r="B273" s="402"/>
      <c r="C273" s="272"/>
      <c r="D273" s="1937"/>
      <c r="E273" s="1937"/>
      <c r="F273" s="1937"/>
      <c r="G273" s="130"/>
    </row>
    <row r="274" spans="1:7" s="39" customFormat="1" ht="14.25">
      <c r="A274" s="402"/>
      <c r="B274" s="402"/>
      <c r="C274" s="272"/>
      <c r="D274" s="1937"/>
      <c r="E274" s="1937"/>
      <c r="F274" s="1937"/>
      <c r="G274" s="130"/>
    </row>
    <row r="275" spans="1:7" s="39" customFormat="1" ht="14.25">
      <c r="A275" s="402"/>
      <c r="B275" s="402"/>
      <c r="C275" s="272"/>
      <c r="D275" s="496"/>
      <c r="E275" s="497"/>
      <c r="F275" s="497"/>
      <c r="G275" s="130"/>
    </row>
    <row r="276" spans="1:7" s="39" customFormat="1" ht="13.35" customHeight="1">
      <c r="A276" s="272"/>
      <c r="B276" s="678" t="s">
        <v>315</v>
      </c>
      <c r="C276" s="272"/>
      <c r="D276" s="1937" t="s">
        <v>1305</v>
      </c>
      <c r="E276" s="1937"/>
      <c r="F276" s="1937"/>
      <c r="G276" s="130"/>
    </row>
    <row r="277" spans="1:7" s="39" customFormat="1">
      <c r="A277" s="272"/>
      <c r="B277" s="272"/>
      <c r="C277" s="272"/>
      <c r="D277" s="1937"/>
      <c r="E277" s="1937"/>
      <c r="F277" s="1937"/>
      <c r="G277" s="130"/>
    </row>
    <row r="278" spans="1:7" s="39" customFormat="1" ht="14.25">
      <c r="A278" s="402"/>
      <c r="B278" s="402"/>
      <c r="C278" s="272"/>
      <c r="D278" s="496"/>
      <c r="E278" s="497"/>
      <c r="F278" s="497"/>
      <c r="G278" s="130"/>
    </row>
    <row r="279" spans="1:7">
      <c r="A279" s="272"/>
      <c r="B279" s="678" t="s">
        <v>315</v>
      </c>
      <c r="D279" s="1887" t="s">
        <v>1306</v>
      </c>
      <c r="E279" s="1887"/>
      <c r="F279" s="1887"/>
    </row>
    <row r="280" spans="1:7">
      <c r="E280" s="135"/>
      <c r="F280" s="135"/>
    </row>
    <row r="281" spans="1:7" ht="14.25">
      <c r="A281" s="260"/>
      <c r="B281" s="678" t="s">
        <v>315</v>
      </c>
      <c r="D281" s="1883" t="s">
        <v>1307</v>
      </c>
      <c r="E281" s="1883"/>
      <c r="F281" s="1883"/>
    </row>
    <row r="282" spans="1:7" ht="14.25">
      <c r="A282" s="260"/>
      <c r="B282" s="260"/>
      <c r="D282" s="1883"/>
      <c r="E282" s="1883"/>
      <c r="F282" s="1883"/>
    </row>
    <row r="283" spans="1:7" s="718" customFormat="1" ht="14.25">
      <c r="A283" s="713"/>
      <c r="B283" s="713"/>
      <c r="C283" s="730"/>
      <c r="D283" s="1883"/>
      <c r="E283" s="1883"/>
      <c r="F283" s="1883"/>
      <c r="G283" s="7"/>
    </row>
    <row r="284" spans="1:7" s="718" customFormat="1" ht="14.25">
      <c r="A284" s="713"/>
      <c r="B284" s="713"/>
      <c r="C284" s="730"/>
      <c r="D284" s="1883"/>
      <c r="E284" s="1883"/>
      <c r="F284" s="1883"/>
      <c r="G284" s="7"/>
    </row>
    <row r="285" spans="1:7" s="718" customFormat="1" ht="14.25">
      <c r="A285" s="713"/>
      <c r="B285" s="713"/>
      <c r="C285" s="730"/>
      <c r="D285" s="1883"/>
      <c r="E285" s="1883"/>
      <c r="F285" s="1883"/>
      <c r="G285" s="7"/>
    </row>
    <row r="286" spans="1:7" s="718" customFormat="1" ht="14.25">
      <c r="A286" s="713"/>
      <c r="B286" s="713"/>
      <c r="C286" s="730"/>
      <c r="D286" s="1883"/>
      <c r="E286" s="1883"/>
      <c r="F286" s="1883"/>
      <c r="G286" s="7"/>
    </row>
    <row r="287" spans="1:7" s="718" customFormat="1" ht="14.25">
      <c r="A287" s="713"/>
      <c r="B287" s="713"/>
      <c r="C287" s="730"/>
      <c r="D287" s="1883"/>
      <c r="E287" s="1883"/>
      <c r="F287" s="1883"/>
      <c r="G287" s="7"/>
    </row>
    <row r="288" spans="1:7" s="718" customFormat="1" ht="14.25">
      <c r="A288" s="713"/>
      <c r="B288" s="713"/>
      <c r="C288" s="730"/>
      <c r="D288" s="1883"/>
      <c r="E288" s="1883"/>
      <c r="F288" s="1883"/>
      <c r="G288" s="7"/>
    </row>
    <row r="289" spans="1:7" s="718" customFormat="1" ht="14.25">
      <c r="A289" s="713"/>
      <c r="B289" s="713"/>
      <c r="C289" s="730"/>
      <c r="D289" s="1883"/>
      <c r="E289" s="1883"/>
      <c r="F289" s="1883"/>
      <c r="G289" s="7"/>
    </row>
    <row r="290" spans="1:7" s="718" customFormat="1" ht="14.25">
      <c r="A290" s="713"/>
      <c r="B290" s="713"/>
      <c r="C290" s="730"/>
      <c r="D290" s="1883"/>
      <c r="E290" s="1883"/>
      <c r="F290" s="1883"/>
      <c r="G290" s="7"/>
    </row>
    <row r="291" spans="1:7" s="718" customFormat="1" ht="14.25">
      <c r="A291" s="713"/>
      <c r="B291" s="713"/>
      <c r="C291" s="730"/>
      <c r="D291" s="1883"/>
      <c r="E291" s="1883"/>
      <c r="F291" s="1883"/>
      <c r="G291" s="7"/>
    </row>
    <row r="292" spans="1:7" s="718" customFormat="1" ht="14.25">
      <c r="A292" s="713"/>
      <c r="B292" s="713"/>
      <c r="C292" s="730"/>
      <c r="D292" s="1883"/>
      <c r="E292" s="1883"/>
      <c r="F292" s="1883"/>
      <c r="G292" s="7"/>
    </row>
    <row r="293" spans="1:7" ht="14.25">
      <c r="A293" s="260"/>
      <c r="B293" s="260"/>
      <c r="D293" s="1883"/>
      <c r="E293" s="1883"/>
      <c r="F293" s="1883"/>
    </row>
    <row r="294" spans="1:7" ht="14.25">
      <c r="A294" s="260"/>
      <c r="B294" s="260"/>
      <c r="D294" s="1883"/>
      <c r="E294" s="1883"/>
      <c r="F294" s="1883"/>
    </row>
    <row r="295" spans="1:7" ht="14.25">
      <c r="A295" s="260"/>
      <c r="B295" s="260"/>
      <c r="D295" s="1883"/>
      <c r="E295" s="1883"/>
      <c r="F295" s="1883"/>
    </row>
    <row r="296" spans="1:7">
      <c r="D296" s="135"/>
      <c r="E296" s="135"/>
      <c r="F296" s="135"/>
    </row>
    <row r="297" spans="1:7" ht="14.25">
      <c r="A297" s="260"/>
      <c r="B297" s="678" t="s">
        <v>315</v>
      </c>
      <c r="D297" s="1883" t="s">
        <v>1308</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4.25">
      <c r="A307" s="260"/>
      <c r="B307" s="678" t="s">
        <v>315</v>
      </c>
      <c r="D307" s="1862" t="s">
        <v>1309</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8" customFormat="1">
      <c r="A313" s="730"/>
      <c r="B313" s="730"/>
      <c r="C313" s="730"/>
      <c r="D313" s="727"/>
      <c r="E313" s="727"/>
      <c r="F313" s="727"/>
    </row>
    <row r="314" spans="1:7" ht="13.5" thickBot="1">
      <c r="D314" s="1933" t="s">
        <v>1058</v>
      </c>
      <c r="E314" s="1933"/>
      <c r="F314" s="1933"/>
      <c r="G314" s="12"/>
    </row>
    <row r="315" spans="1:7" s="718" customFormat="1" ht="13.5" thickTop="1">
      <c r="A315" s="730"/>
      <c r="B315" s="730"/>
      <c r="C315" s="730"/>
      <c r="D315" s="1934" t="s">
        <v>1310</v>
      </c>
      <c r="E315" s="1934"/>
      <c r="F315" s="1934"/>
    </row>
    <row r="316" spans="1:7">
      <c r="A316" s="324"/>
      <c r="B316" s="324"/>
      <c r="C316" s="324"/>
      <c r="D316" s="466"/>
      <c r="E316" s="466"/>
      <c r="F316" s="135"/>
      <c r="G316" s="12"/>
    </row>
    <row r="317" spans="1:7" ht="14.25">
      <c r="A317" s="260"/>
      <c r="B317" s="678" t="s">
        <v>315</v>
      </c>
      <c r="C317" s="324"/>
      <c r="D317" s="1935" t="s">
        <v>1311</v>
      </c>
      <c r="E317" s="1935"/>
      <c r="F317" s="1935"/>
      <c r="G317" s="12"/>
    </row>
    <row r="318" spans="1:7">
      <c r="A318" s="324"/>
      <c r="B318" s="324"/>
      <c r="C318" s="324"/>
      <c r="D318" s="466"/>
      <c r="E318" s="466"/>
      <c r="F318" s="135"/>
      <c r="G318" s="12"/>
    </row>
    <row r="319" spans="1:7">
      <c r="A319" s="324"/>
      <c r="B319" s="678" t="s">
        <v>315</v>
      </c>
      <c r="C319" s="324"/>
      <c r="D319" s="1919" t="s">
        <v>1312</v>
      </c>
      <c r="E319" s="1919"/>
      <c r="F319" s="1919"/>
      <c r="G319" s="12"/>
    </row>
    <row r="320" spans="1:7">
      <c r="A320" s="324"/>
      <c r="B320" s="324"/>
      <c r="C320" s="324"/>
      <c r="D320" s="1919"/>
      <c r="E320" s="1919"/>
      <c r="F320" s="1919"/>
      <c r="G320" s="12"/>
    </row>
    <row r="321" spans="1:7">
      <c r="A321" s="324"/>
      <c r="B321" s="324"/>
      <c r="C321" s="324"/>
      <c r="D321" s="1919"/>
      <c r="E321" s="1919"/>
      <c r="F321" s="1919"/>
      <c r="G321" s="12"/>
    </row>
    <row r="322" spans="1:7">
      <c r="A322" s="324"/>
      <c r="B322" s="324"/>
      <c r="C322" s="324"/>
      <c r="D322" s="1919"/>
      <c r="E322" s="1919"/>
      <c r="F322" s="1919"/>
      <c r="G322" s="12"/>
    </row>
    <row r="323" spans="1:7" s="718" customFormat="1">
      <c r="A323" s="324"/>
      <c r="B323" s="324"/>
      <c r="C323" s="324"/>
      <c r="D323" s="1919"/>
      <c r="E323" s="1919"/>
      <c r="F323" s="1919"/>
    </row>
    <row r="324" spans="1:7" s="718" customFormat="1">
      <c r="A324" s="324"/>
      <c r="B324" s="324"/>
      <c r="C324" s="324"/>
      <c r="D324" s="1919"/>
      <c r="E324" s="1919"/>
      <c r="F324" s="1919"/>
    </row>
    <row r="325" spans="1:7" s="718" customFormat="1">
      <c r="A325" s="324"/>
      <c r="B325" s="324"/>
      <c r="C325" s="324"/>
      <c r="D325" s="1919"/>
      <c r="E325" s="1919"/>
      <c r="F325" s="1919"/>
    </row>
    <row r="326" spans="1:7" s="718" customFormat="1">
      <c r="A326" s="324"/>
      <c r="B326" s="324"/>
      <c r="C326" s="324"/>
      <c r="D326" s="1919"/>
      <c r="E326" s="1919"/>
      <c r="F326" s="1919"/>
    </row>
    <row r="327" spans="1:7">
      <c r="A327" s="324"/>
      <c r="B327" s="324"/>
      <c r="C327" s="324"/>
      <c r="D327" s="1919"/>
      <c r="E327" s="1919"/>
      <c r="F327" s="1919"/>
      <c r="G327" s="12"/>
    </row>
    <row r="328" spans="1:7">
      <c r="A328" s="324"/>
      <c r="B328" s="324"/>
      <c r="C328" s="324"/>
      <c r="D328" s="1919"/>
      <c r="E328" s="1919"/>
      <c r="F328" s="1919"/>
      <c r="G328" s="12"/>
    </row>
    <row r="329" spans="1:7">
      <c r="A329" s="324"/>
      <c r="B329" s="324"/>
      <c r="C329" s="324"/>
      <c r="D329" s="1919"/>
      <c r="E329" s="1919"/>
      <c r="F329" s="1919"/>
      <c r="G329" s="12"/>
    </row>
    <row r="330" spans="1:7">
      <c r="A330" s="324"/>
      <c r="B330" s="324"/>
      <c r="C330" s="324"/>
      <c r="D330" s="12"/>
      <c r="E330" s="466"/>
      <c r="F330" s="135"/>
      <c r="G330" s="12"/>
    </row>
    <row r="331" spans="1:7" ht="14.25">
      <c r="A331" s="260"/>
      <c r="B331" s="678" t="s">
        <v>315</v>
      </c>
      <c r="C331" s="324"/>
      <c r="D331" s="1938" t="s">
        <v>1313</v>
      </c>
      <c r="E331" s="1938"/>
      <c r="F331" s="1938"/>
      <c r="G331" s="12"/>
    </row>
    <row r="332" spans="1:7">
      <c r="A332" s="324"/>
      <c r="B332" s="324"/>
      <c r="C332" s="324"/>
      <c r="D332" s="1938"/>
      <c r="E332" s="1938"/>
      <c r="F332" s="1938"/>
      <c r="G332" s="12"/>
    </row>
    <row r="333" spans="1:7">
      <c r="A333" s="324"/>
      <c r="B333" s="324"/>
      <c r="C333" s="324"/>
      <c r="D333" s="1938"/>
      <c r="E333" s="1938"/>
      <c r="F333" s="1938"/>
      <c r="G333" s="12"/>
    </row>
    <row r="334" spans="1:7">
      <c r="A334" s="324"/>
      <c r="B334" s="324"/>
      <c r="C334" s="324"/>
      <c r="D334" s="1938"/>
      <c r="E334" s="1938"/>
      <c r="F334" s="1938"/>
      <c r="G334" s="12"/>
    </row>
    <row r="335" spans="1:7">
      <c r="A335" s="324"/>
      <c r="B335" s="324"/>
      <c r="C335" s="324"/>
      <c r="D335" s="504"/>
      <c r="E335" s="466"/>
      <c r="F335" s="135"/>
      <c r="G335" s="12"/>
    </row>
    <row r="336" spans="1:7">
      <c r="A336" s="324"/>
      <c r="B336" s="324"/>
      <c r="C336" s="324"/>
      <c r="D336" s="1938" t="s">
        <v>1314</v>
      </c>
      <c r="E336" s="1938"/>
      <c r="F336" s="1938"/>
      <c r="G336" s="12"/>
    </row>
    <row r="337" spans="1:7">
      <c r="A337" s="324"/>
      <c r="B337" s="324"/>
      <c r="C337" s="324"/>
      <c r="D337" s="1938"/>
      <c r="E337" s="1938"/>
      <c r="F337" s="1938"/>
      <c r="G337" s="12"/>
    </row>
    <row r="338" spans="1:7">
      <c r="A338" s="324"/>
      <c r="B338" s="324"/>
      <c r="C338" s="324"/>
      <c r="D338" s="1938"/>
      <c r="E338" s="1938"/>
      <c r="F338" s="1938"/>
      <c r="G338" s="12"/>
    </row>
    <row r="339" spans="1:7">
      <c r="A339" s="324"/>
      <c r="B339" s="324"/>
      <c r="C339" s="324"/>
      <c r="D339" s="1938"/>
      <c r="E339" s="1938"/>
      <c r="F339" s="1938"/>
      <c r="G339" s="12"/>
    </row>
    <row r="340" spans="1:7" ht="18" customHeight="1">
      <c r="A340" s="324"/>
      <c r="B340" s="324"/>
      <c r="C340" s="324"/>
      <c r="D340" s="1938"/>
      <c r="E340" s="1938"/>
      <c r="F340" s="1938"/>
      <c r="G340" s="12"/>
    </row>
    <row r="341" spans="1:7">
      <c r="A341" s="324"/>
      <c r="B341" s="324"/>
      <c r="C341" s="324"/>
      <c r="D341" s="1938"/>
      <c r="E341" s="1938"/>
      <c r="F341" s="1938"/>
      <c r="G341" s="12"/>
    </row>
    <row r="342" spans="1:7">
      <c r="A342" s="324"/>
      <c r="B342" s="324"/>
      <c r="C342" s="324"/>
      <c r="D342" s="1938"/>
      <c r="E342" s="1938"/>
      <c r="F342" s="1938"/>
      <c r="G342" s="12"/>
    </row>
    <row r="343" spans="1:7">
      <c r="A343" s="324"/>
      <c r="B343" s="324"/>
      <c r="C343" s="324"/>
      <c r="D343" s="1938"/>
      <c r="E343" s="1938"/>
      <c r="F343" s="1938"/>
      <c r="G343" s="12"/>
    </row>
    <row r="344" spans="1:7" ht="8.25" customHeight="1">
      <c r="A344" s="324"/>
      <c r="B344" s="324"/>
      <c r="C344" s="324"/>
      <c r="D344" s="1938"/>
      <c r="E344" s="1938"/>
      <c r="F344" s="1938"/>
      <c r="G344" s="12"/>
    </row>
    <row r="345" spans="1:7" ht="13.35" customHeight="1">
      <c r="A345" s="324"/>
      <c r="B345" s="324"/>
      <c r="C345" s="324"/>
      <c r="D345" s="1931" t="s">
        <v>1315</v>
      </c>
      <c r="E345" s="1931"/>
      <c r="F345" s="1931"/>
      <c r="G345" s="12"/>
    </row>
    <row r="346" spans="1:7">
      <c r="A346" s="324"/>
      <c r="B346" s="324"/>
      <c r="C346" s="324"/>
      <c r="D346" s="1931"/>
      <c r="E346" s="1931"/>
      <c r="F346" s="1931"/>
      <c r="G346" s="12"/>
    </row>
    <row r="347" spans="1:7">
      <c r="A347" s="324"/>
      <c r="B347" s="324"/>
      <c r="C347" s="324"/>
      <c r="D347" s="1931"/>
      <c r="E347" s="1931"/>
      <c r="F347" s="1931"/>
      <c r="G347" s="12"/>
    </row>
    <row r="348" spans="1:7" s="718" customFormat="1">
      <c r="A348" s="324"/>
      <c r="B348" s="324"/>
      <c r="C348" s="324"/>
      <c r="D348" s="1931"/>
      <c r="E348" s="1931"/>
      <c r="F348" s="1931"/>
    </row>
    <row r="349" spans="1:7" s="718" customFormat="1">
      <c r="A349" s="324"/>
      <c r="B349" s="324"/>
      <c r="C349" s="324"/>
      <c r="D349" s="1931"/>
      <c r="E349" s="1931"/>
      <c r="F349" s="1931"/>
    </row>
    <row r="350" spans="1:7" s="718" customFormat="1">
      <c r="A350" s="324"/>
      <c r="B350" s="324"/>
      <c r="C350" s="324"/>
      <c r="D350" s="1931"/>
      <c r="E350" s="1931"/>
      <c r="F350" s="1931"/>
    </row>
    <row r="351" spans="1:7" s="718" customFormat="1">
      <c r="A351" s="324"/>
      <c r="B351" s="324"/>
      <c r="C351" s="324"/>
      <c r="D351" s="1931"/>
      <c r="E351" s="1931"/>
      <c r="F351" s="1931"/>
    </row>
    <row r="352" spans="1:7" s="718" customFormat="1">
      <c r="A352" s="324"/>
      <c r="B352" s="324"/>
      <c r="C352" s="324"/>
      <c r="D352" s="1931"/>
      <c r="E352" s="1931"/>
      <c r="F352" s="1931"/>
    </row>
    <row r="353" spans="1:7">
      <c r="A353" s="324"/>
      <c r="B353" s="324"/>
      <c r="C353" s="324"/>
      <c r="D353" s="1931"/>
      <c r="E353" s="1931"/>
      <c r="F353" s="1931"/>
      <c r="G353" s="12"/>
    </row>
    <row r="354" spans="1:7">
      <c r="A354" s="324"/>
      <c r="B354" s="324"/>
      <c r="C354" s="324"/>
      <c r="D354" s="1931"/>
      <c r="E354" s="1931"/>
      <c r="F354" s="1931"/>
      <c r="G354" s="12"/>
    </row>
    <row r="355" spans="1:7">
      <c r="A355" s="324"/>
      <c r="B355" s="324"/>
      <c r="C355" s="324"/>
      <c r="D355" s="1931"/>
      <c r="E355" s="1931"/>
      <c r="F355" s="1931"/>
      <c r="G355" s="12"/>
    </row>
    <row r="356" spans="1:7">
      <c r="A356" s="324"/>
      <c r="B356" s="324"/>
      <c r="C356" s="324"/>
      <c r="D356" s="1931"/>
      <c r="E356" s="1931"/>
      <c r="F356" s="1931"/>
      <c r="G356" s="12"/>
    </row>
    <row r="357" spans="1:7">
      <c r="A357" s="324"/>
      <c r="B357" s="324"/>
      <c r="C357" s="506"/>
      <c r="D357" s="1931"/>
      <c r="E357" s="1931"/>
      <c r="F357" s="1931"/>
      <c r="G357" s="12"/>
    </row>
    <row r="358" spans="1:7">
      <c r="A358" s="324"/>
      <c r="B358" s="324"/>
      <c r="C358" s="506"/>
      <c r="D358" s="1931"/>
      <c r="E358" s="1931"/>
      <c r="F358" s="1931"/>
      <c r="G358" s="12"/>
    </row>
    <row r="359" spans="1:7">
      <c r="A359" s="324"/>
      <c r="B359" s="324"/>
      <c r="C359" s="324"/>
      <c r="D359" s="1931"/>
      <c r="E359" s="1931"/>
      <c r="F359" s="1931"/>
      <c r="G359" s="12"/>
    </row>
    <row r="360" spans="1:7">
      <c r="A360" s="324"/>
      <c r="B360" s="324"/>
      <c r="C360" s="506"/>
      <c r="D360" s="1931"/>
      <c r="E360" s="1931"/>
      <c r="F360" s="1931"/>
      <c r="G360" s="12"/>
    </row>
    <row r="361" spans="1:7">
      <c r="A361" s="324"/>
      <c r="B361" s="324"/>
      <c r="C361" s="506"/>
      <c r="D361" s="1931"/>
      <c r="E361" s="1931"/>
      <c r="F361" s="1931"/>
      <c r="G361" s="12"/>
    </row>
    <row r="362" spans="1:7">
      <c r="A362" s="324"/>
      <c r="B362" s="324"/>
      <c r="C362" s="506"/>
      <c r="D362" s="1931"/>
      <c r="E362" s="1931"/>
      <c r="F362" s="1931"/>
      <c r="G362" s="12"/>
    </row>
    <row r="363" spans="1:7">
      <c r="A363" s="324"/>
      <c r="B363" s="324"/>
      <c r="C363" s="324"/>
      <c r="D363" s="504"/>
      <c r="E363" s="466"/>
      <c r="F363" s="135"/>
      <c r="G363" s="12"/>
    </row>
    <row r="364" spans="1:7">
      <c r="A364" s="324"/>
      <c r="B364" s="678" t="s">
        <v>315</v>
      </c>
      <c r="C364" s="324"/>
      <c r="D364" s="1931" t="s">
        <v>1316</v>
      </c>
      <c r="E364" s="1931"/>
      <c r="F364" s="1931"/>
      <c r="G364" s="12"/>
    </row>
    <row r="365" spans="1:7">
      <c r="A365" s="324"/>
      <c r="B365" s="324"/>
      <c r="C365" s="324"/>
      <c r="D365" s="1931"/>
      <c r="E365" s="1931"/>
      <c r="F365" s="1931"/>
      <c r="G365" s="12"/>
    </row>
    <row r="366" spans="1:7">
      <c r="A366" s="324"/>
      <c r="B366" s="324"/>
      <c r="C366" s="324"/>
      <c r="D366" s="466"/>
      <c r="E366" s="466"/>
      <c r="F366" s="135"/>
      <c r="G366" s="12"/>
    </row>
    <row r="367" spans="1:7" ht="14.25">
      <c r="A367" s="260"/>
      <c r="B367" s="678" t="s">
        <v>315</v>
      </c>
      <c r="C367" s="324"/>
      <c r="D367" s="1919" t="s">
        <v>1317</v>
      </c>
      <c r="E367" s="1919"/>
      <c r="F367" s="1919"/>
      <c r="G367" s="12"/>
    </row>
    <row r="368" spans="1:7" ht="14.25">
      <c r="A368" s="505"/>
      <c r="B368" s="505"/>
      <c r="C368" s="324"/>
      <c r="D368" s="1919"/>
      <c r="E368" s="1919"/>
      <c r="F368" s="1919"/>
      <c r="G368" s="12"/>
    </row>
    <row r="369" spans="1:7" ht="14.25">
      <c r="A369" s="505"/>
      <c r="B369" s="505"/>
      <c r="C369" s="324"/>
      <c r="D369" s="1919"/>
      <c r="E369" s="1919"/>
      <c r="F369" s="1919"/>
      <c r="G369" s="12"/>
    </row>
    <row r="370" spans="1:7" ht="14.25">
      <c r="A370" s="505"/>
      <c r="B370" s="505"/>
      <c r="C370" s="324"/>
      <c r="D370" s="1919"/>
      <c r="E370" s="1919"/>
      <c r="F370" s="1919"/>
      <c r="G370" s="12"/>
    </row>
    <row r="371" spans="1:7" ht="14.25">
      <c r="A371" s="505"/>
      <c r="B371" s="505"/>
      <c r="C371" s="324"/>
      <c r="D371" s="1919"/>
      <c r="E371" s="1919"/>
      <c r="F371" s="1919"/>
      <c r="G371" s="12"/>
    </row>
    <row r="372" spans="1:7">
      <c r="D372" s="135"/>
      <c r="E372" s="135"/>
      <c r="F372" s="135"/>
      <c r="G372" s="12"/>
    </row>
    <row r="373" spans="1:7" ht="14.25">
      <c r="A373" s="260"/>
      <c r="B373" s="678" t="s">
        <v>315</v>
      </c>
      <c r="C373" s="265"/>
      <c r="D373" s="1862" t="s">
        <v>1318</v>
      </c>
      <c r="E373" s="1862"/>
      <c r="F373" s="1862"/>
      <c r="G373" s="12"/>
    </row>
    <row r="374" spans="1:7" ht="14.25">
      <c r="A374" s="260"/>
      <c r="B374" s="260"/>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5"/>
      <c r="C402" s="132"/>
      <c r="D402" s="1862"/>
      <c r="E402" s="1862"/>
      <c r="F402" s="1862"/>
      <c r="G402" s="30"/>
    </row>
    <row r="403" spans="1:7" s="32" customFormat="1" ht="40.9" customHeight="1">
      <c r="A403" s="132"/>
      <c r="B403" s="675"/>
      <c r="C403" s="132"/>
      <c r="D403" s="1862"/>
      <c r="E403" s="1862"/>
      <c r="F403" s="1862"/>
      <c r="G403" s="30"/>
    </row>
    <row r="404" spans="1:7" s="32" customFormat="1">
      <c r="A404" s="132"/>
      <c r="B404" s="675"/>
      <c r="C404" s="132"/>
      <c r="D404" s="135"/>
      <c r="E404" s="135"/>
      <c r="F404" s="135"/>
      <c r="G404" s="30"/>
    </row>
    <row r="405" spans="1:7" ht="14.25">
      <c r="A405" s="260"/>
      <c r="B405" s="678" t="s">
        <v>315</v>
      </c>
      <c r="C405" s="265"/>
      <c r="D405" s="1887" t="s">
        <v>1319</v>
      </c>
      <c r="E405" s="1887"/>
      <c r="F405" s="1887"/>
    </row>
    <row r="406" spans="1:7">
      <c r="D406" s="1932" t="s">
        <v>1083</v>
      </c>
      <c r="E406" s="1932"/>
      <c r="F406" s="1932"/>
    </row>
    <row r="407" spans="1:7">
      <c r="D407" s="1883" t="s">
        <v>1320</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4.25">
      <c r="A412" s="260"/>
      <c r="B412" s="678" t="s">
        <v>315</v>
      </c>
      <c r="C412" s="265"/>
      <c r="D412" s="1862" t="s">
        <v>1321</v>
      </c>
      <c r="E412" s="1862"/>
      <c r="F412" s="1862"/>
      <c r="G412" s="12"/>
    </row>
    <row r="413" spans="1:7">
      <c r="D413" s="1862"/>
      <c r="E413" s="1862"/>
      <c r="F413" s="1862"/>
      <c r="G413" s="12"/>
    </row>
    <row r="414" spans="1:7">
      <c r="D414" s="1862"/>
      <c r="E414" s="1862"/>
      <c r="F414" s="1862"/>
      <c r="G414" s="12"/>
    </row>
    <row r="415" spans="1:7" s="718" customFormat="1">
      <c r="A415" s="730"/>
      <c r="B415" s="730"/>
      <c r="C415" s="730"/>
      <c r="D415" s="727"/>
      <c r="E415" s="727"/>
      <c r="F415" s="727"/>
    </row>
    <row r="416" spans="1:7" ht="14.25">
      <c r="B416" s="678" t="s">
        <v>315</v>
      </c>
      <c r="C416" s="260"/>
      <c r="D416" s="1883" t="s">
        <v>1322</v>
      </c>
      <c r="E416" s="1883"/>
      <c r="F416" s="1883"/>
      <c r="G416" s="12"/>
    </row>
    <row r="417" spans="1:7">
      <c r="D417" s="1883"/>
      <c r="E417" s="1883"/>
      <c r="F417" s="1883"/>
      <c r="G417" s="12"/>
    </row>
    <row r="418" spans="1:7">
      <c r="D418" s="135"/>
      <c r="E418" s="135"/>
      <c r="F418" s="135"/>
      <c r="G418" s="12"/>
    </row>
    <row r="419" spans="1:7" ht="14.25">
      <c r="B419" s="678" t="s">
        <v>315</v>
      </c>
      <c r="C419" s="260"/>
      <c r="D419" s="1883" t="s">
        <v>1323</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8" t="s">
        <v>315</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8" t="s">
        <v>315</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8" t="s">
        <v>315</v>
      </c>
      <c r="C430" s="12"/>
      <c r="D430" s="1883"/>
      <c r="E430" s="1883"/>
      <c r="F430" s="1883"/>
      <c r="G430" s="12"/>
    </row>
    <row r="431" spans="1:7">
      <c r="A431" s="12"/>
      <c r="B431" s="12"/>
      <c r="C431" s="12"/>
      <c r="D431" s="1883"/>
      <c r="E431" s="1883"/>
      <c r="F431" s="1883"/>
      <c r="G431" s="12"/>
    </row>
    <row r="432" spans="1:7">
      <c r="A432" s="12"/>
      <c r="B432" s="678" t="s">
        <v>315</v>
      </c>
      <c r="C432" s="12"/>
      <c r="D432" s="1883"/>
      <c r="E432" s="1883"/>
      <c r="F432" s="1883"/>
      <c r="G432" s="12"/>
    </row>
    <row r="433" spans="1:7" s="718" customFormat="1">
      <c r="D433" s="728"/>
      <c r="E433" s="728"/>
      <c r="F433" s="728"/>
    </row>
    <row r="434" spans="1:7">
      <c r="A434" s="12"/>
      <c r="B434" s="717" t="s">
        <v>315</v>
      </c>
      <c r="C434" s="12"/>
      <c r="D434" s="1883" t="s">
        <v>1324</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8" t="s">
        <v>315</v>
      </c>
      <c r="D440" s="1894" t="s">
        <v>1325</v>
      </c>
      <c r="E440" s="1894"/>
      <c r="F440" s="1894"/>
    </row>
    <row r="441" spans="1:7">
      <c r="A441" s="135"/>
      <c r="B441" s="135"/>
    </row>
    <row r="442" spans="1:7">
      <c r="A442" s="1888" t="s">
        <v>1166</v>
      </c>
      <c r="B442" s="1888"/>
      <c r="C442" s="1888"/>
      <c r="D442" s="1888"/>
      <c r="E442" s="1888"/>
      <c r="F442" s="1888"/>
      <c r="G442" s="1888"/>
    </row>
    <row r="443" spans="1:7">
      <c r="A443" s="135"/>
      <c r="B443" s="135"/>
    </row>
    <row r="444" spans="1:7">
      <c r="D444" s="1939" t="s">
        <v>947</v>
      </c>
      <c r="E444" s="1939"/>
      <c r="F444" s="1939"/>
    </row>
    <row r="445" spans="1:7" s="39" customFormat="1" ht="14.25">
      <c r="A445" s="402"/>
      <c r="B445" s="402"/>
      <c r="C445" s="272"/>
      <c r="D445" s="1940" t="s">
        <v>1326</v>
      </c>
      <c r="E445" s="1940"/>
      <c r="F445" s="1940"/>
      <c r="G445" s="130"/>
    </row>
    <row r="446" spans="1:7" s="39" customFormat="1" ht="14.25">
      <c r="A446" s="402"/>
      <c r="B446" s="402"/>
      <c r="C446" s="272"/>
      <c r="D446" s="731"/>
      <c r="E446" s="6"/>
      <c r="F446" s="6"/>
      <c r="G446" s="130"/>
    </row>
    <row r="447" spans="1:7" s="39" customFormat="1" ht="14.25">
      <c r="A447" s="260"/>
      <c r="B447" s="678" t="s">
        <v>315</v>
      </c>
      <c r="C447" s="272"/>
      <c r="D447" s="1941" t="s">
        <v>1327</v>
      </c>
      <c r="E447" s="1941"/>
      <c r="F447" s="1941"/>
      <c r="G447" s="130"/>
    </row>
    <row r="448" spans="1:7" s="39" customFormat="1" ht="14.25">
      <c r="A448" s="260"/>
      <c r="B448" s="260"/>
      <c r="C448" s="272"/>
      <c r="D448" s="1941"/>
      <c r="E448" s="1941"/>
      <c r="F448" s="1941"/>
      <c r="G448" s="130"/>
    </row>
    <row r="449" spans="1:7" s="39" customFormat="1" ht="14.25">
      <c r="A449" s="260"/>
      <c r="B449" s="260"/>
      <c r="C449" s="272"/>
      <c r="D449" s="729"/>
      <c r="E449" s="6"/>
      <c r="F449" s="6"/>
      <c r="G449" s="130"/>
    </row>
    <row r="450" spans="1:7">
      <c r="B450" s="678" t="s">
        <v>315</v>
      </c>
      <c r="D450" s="1911" t="s">
        <v>1328</v>
      </c>
      <c r="E450" s="1911"/>
      <c r="F450" s="1911"/>
    </row>
    <row r="451" spans="1:7" ht="14.25">
      <c r="A451" s="260"/>
      <c r="D451" s="1911"/>
      <c r="E451" s="1911"/>
      <c r="F451" s="1911"/>
    </row>
    <row r="452" spans="1:7" ht="14.25">
      <c r="A452" s="260"/>
      <c r="B452" s="260"/>
      <c r="D452" s="1911"/>
      <c r="E452" s="1911"/>
      <c r="F452" s="1911"/>
    </row>
    <row r="453" spans="1:7" ht="14.25">
      <c r="A453" s="260"/>
      <c r="B453" s="260"/>
      <c r="D453" s="1911"/>
      <c r="E453" s="1911"/>
      <c r="F453" s="1911"/>
    </row>
    <row r="454" spans="1:7">
      <c r="D454" s="677"/>
      <c r="E454" s="677"/>
      <c r="F454" s="677"/>
      <c r="G454" s="12"/>
    </row>
    <row r="455" spans="1:7" ht="14.25">
      <c r="A455" s="260"/>
      <c r="B455" s="678" t="s">
        <v>315</v>
      </c>
      <c r="D455" s="1864" t="s">
        <v>1329</v>
      </c>
      <c r="E455" s="1864"/>
      <c r="F455" s="1864"/>
      <c r="G455" s="12"/>
    </row>
    <row r="456" spans="1:7" ht="14.25">
      <c r="A456" s="260"/>
      <c r="B456" s="260"/>
      <c r="D456" s="1864"/>
      <c r="E456" s="1864"/>
      <c r="F456" s="1864"/>
      <c r="G456" s="12"/>
    </row>
    <row r="457" spans="1:7" ht="14.25">
      <c r="A457" s="260"/>
      <c r="D457" s="1864"/>
      <c r="E457" s="1864"/>
      <c r="F457" s="1864"/>
      <c r="G457" s="12"/>
    </row>
    <row r="458" spans="1:7" ht="14.25">
      <c r="A458" s="260"/>
      <c r="B458" s="260"/>
      <c r="D458" s="677"/>
      <c r="E458" s="677"/>
      <c r="F458" s="677"/>
      <c r="G458" s="12"/>
    </row>
    <row r="459" spans="1:7" ht="14.25">
      <c r="A459" s="260"/>
      <c r="B459" s="717" t="s">
        <v>315</v>
      </c>
      <c r="D459" s="1887" t="s">
        <v>1330</v>
      </c>
      <c r="E459" s="1887"/>
      <c r="F459" s="1887"/>
      <c r="G459" s="12"/>
    </row>
    <row r="460" spans="1:7" ht="14.25">
      <c r="A460" s="260"/>
      <c r="B460" s="260"/>
      <c r="D460" s="729"/>
      <c r="E460" s="6"/>
      <c r="F460" s="6"/>
      <c r="G460" s="12"/>
    </row>
    <row r="461" spans="1:7" ht="14.25">
      <c r="A461" s="260"/>
      <c r="B461" s="678" t="s">
        <v>315</v>
      </c>
      <c r="D461" s="1862" t="s">
        <v>1331</v>
      </c>
      <c r="E461" s="1862"/>
      <c r="F461" s="1862"/>
      <c r="G461" s="12"/>
    </row>
    <row r="462" spans="1:7" ht="14.25">
      <c r="A462" s="260"/>
      <c r="D462" s="1862"/>
      <c r="E462" s="1862"/>
      <c r="F462" s="1862"/>
      <c r="G462" s="12"/>
    </row>
    <row r="463" spans="1:7">
      <c r="A463" s="23"/>
      <c r="B463" s="674"/>
      <c r="D463" s="732"/>
      <c r="E463" s="6"/>
      <c r="F463" s="6"/>
      <c r="G463" s="12"/>
    </row>
    <row r="464" spans="1:7">
      <c r="A464" s="23"/>
      <c r="B464" s="717" t="s">
        <v>315</v>
      </c>
      <c r="D464" s="1887" t="s">
        <v>1332</v>
      </c>
      <c r="E464" s="1887"/>
      <c r="F464" s="1887"/>
      <c r="G464" s="12"/>
    </row>
    <row r="465" spans="1:7" ht="14.25">
      <c r="A465" s="260"/>
      <c r="B465" s="260"/>
      <c r="D465" s="135"/>
    </row>
    <row r="466" spans="1:7">
      <c r="A466" s="1888" t="s">
        <v>1167</v>
      </c>
      <c r="B466" s="1888"/>
      <c r="C466" s="1888"/>
      <c r="D466" s="1888"/>
      <c r="E466" s="1888"/>
      <c r="F466" s="1888"/>
      <c r="G466" s="1888"/>
    </row>
    <row r="467" spans="1:7" customFormat="1" ht="12" customHeight="1">
      <c r="A467" s="260"/>
      <c r="B467" s="260"/>
      <c r="C467" s="10"/>
      <c r="D467" s="151"/>
      <c r="E467" s="149"/>
      <c r="F467" s="149"/>
      <c r="G467" s="149"/>
    </row>
    <row r="468" spans="1:7" customFormat="1">
      <c r="A468" s="272"/>
      <c r="B468" s="272"/>
      <c r="C468" s="311"/>
      <c r="D468" s="1942" t="s">
        <v>850</v>
      </c>
      <c r="E468" s="1942"/>
      <c r="F468" s="1942"/>
      <c r="G468" s="182"/>
    </row>
    <row r="469" spans="1:7" customFormat="1" ht="13.35" customHeight="1">
      <c r="A469" s="259"/>
      <c r="B469" s="259"/>
      <c r="C469" s="312"/>
      <c r="D469" s="1943" t="s">
        <v>1210</v>
      </c>
      <c r="E469" s="1943"/>
      <c r="F469" s="1943"/>
      <c r="G469" s="149"/>
    </row>
    <row r="470" spans="1:7" customFormat="1">
      <c r="A470" s="259"/>
      <c r="B470" s="259"/>
      <c r="C470" s="312"/>
      <c r="D470" s="1943"/>
      <c r="E470" s="1943"/>
      <c r="F470" s="1943"/>
      <c r="G470" s="149"/>
    </row>
    <row r="471" spans="1:7" customFormat="1">
      <c r="A471" s="259"/>
      <c r="B471" s="259"/>
      <c r="C471" s="312"/>
      <c r="D471" s="1943"/>
      <c r="E471" s="1943"/>
      <c r="F471" s="1943"/>
      <c r="G471" s="149"/>
    </row>
    <row r="472" spans="1:7" customFormat="1">
      <c r="A472" s="259"/>
      <c r="B472" s="259"/>
      <c r="C472" s="312"/>
      <c r="D472" s="1943"/>
      <c r="E472" s="1943"/>
      <c r="F472" s="1943"/>
      <c r="G472" s="149"/>
    </row>
    <row r="473" spans="1:7" customFormat="1">
      <c r="A473" s="259"/>
      <c r="B473" s="259"/>
      <c r="C473" s="312"/>
      <c r="D473" s="1943"/>
      <c r="E473" s="1943"/>
      <c r="F473" s="1943"/>
      <c r="G473" s="149"/>
    </row>
    <row r="474" spans="1:7" customFormat="1">
      <c r="A474" s="259"/>
      <c r="B474" s="259"/>
      <c r="C474" s="312"/>
      <c r="D474" s="470"/>
      <c r="E474" s="149"/>
      <c r="F474" s="151"/>
      <c r="G474" s="149"/>
    </row>
    <row r="475" spans="1:7" customFormat="1" ht="14.65" customHeight="1">
      <c r="A475" s="260"/>
      <c r="B475" s="678" t="s">
        <v>315</v>
      </c>
      <c r="C475" s="312"/>
      <c r="D475" s="1909" t="s">
        <v>1201</v>
      </c>
      <c r="E475" s="1909"/>
      <c r="F475" s="1909"/>
      <c r="G475" s="149"/>
    </row>
    <row r="476" spans="1:7" customFormat="1">
      <c r="A476" s="259"/>
      <c r="B476" s="259"/>
      <c r="C476" s="312"/>
      <c r="D476" s="1909"/>
      <c r="E476" s="1909"/>
      <c r="F476" s="1909"/>
      <c r="G476" s="149"/>
    </row>
    <row r="477" spans="1:7" s="679" customFormat="1">
      <c r="A477" s="259"/>
      <c r="B477" s="259"/>
      <c r="C477" s="312"/>
      <c r="D477" s="1909"/>
      <c r="E477" s="1909"/>
      <c r="F477" s="1909"/>
      <c r="G477" s="149"/>
    </row>
    <row r="478" spans="1:7" s="679" customFormat="1">
      <c r="A478" s="259"/>
      <c r="B478" s="259"/>
      <c r="C478" s="312"/>
      <c r="D478" s="1909"/>
      <c r="E478" s="1909"/>
      <c r="F478" s="1909"/>
      <c r="G478" s="149"/>
    </row>
    <row r="479" spans="1:7" customFormat="1">
      <c r="A479" s="259"/>
      <c r="B479" s="259"/>
      <c r="C479" s="312"/>
      <c r="D479" s="1909"/>
      <c r="E479" s="1909"/>
      <c r="F479" s="1909"/>
      <c r="G479" s="149"/>
    </row>
    <row r="480" spans="1:7" customFormat="1">
      <c r="A480" s="259"/>
      <c r="B480" s="259"/>
      <c r="C480" s="312"/>
      <c r="D480" s="442"/>
      <c r="E480" s="149"/>
      <c r="F480" s="151"/>
      <c r="G480" s="149"/>
    </row>
    <row r="481" spans="1:7" customFormat="1" ht="14.65" customHeight="1">
      <c r="A481" s="260"/>
      <c r="B481" s="678" t="s">
        <v>315</v>
      </c>
      <c r="C481" s="312"/>
      <c r="D481" s="1909" t="s">
        <v>1204</v>
      </c>
      <c r="E481" s="1909"/>
      <c r="F481" s="1909"/>
      <c r="G481" s="149"/>
    </row>
    <row r="482" spans="1:7" customFormat="1">
      <c r="A482" s="259"/>
      <c r="B482" s="259"/>
      <c r="C482" s="312"/>
      <c r="D482" s="1909"/>
      <c r="E482" s="1909"/>
      <c r="F482" s="1909"/>
      <c r="G482" s="149"/>
    </row>
    <row r="483" spans="1:7" s="679" customFormat="1">
      <c r="A483" s="259"/>
      <c r="B483" s="259"/>
      <c r="C483" s="312"/>
      <c r="D483" s="1909"/>
      <c r="E483" s="1909"/>
      <c r="F483" s="1909"/>
      <c r="G483" s="149"/>
    </row>
    <row r="484" spans="1:7" customFormat="1">
      <c r="A484" s="259"/>
      <c r="B484" s="259"/>
      <c r="C484" s="312"/>
      <c r="D484" s="1909"/>
      <c r="E484" s="1909"/>
      <c r="F484" s="1909"/>
      <c r="G484" s="149"/>
    </row>
    <row r="485" spans="1:7" customFormat="1" ht="10.15" customHeight="1">
      <c r="A485" s="259"/>
      <c r="B485" s="259"/>
      <c r="C485" s="312"/>
      <c r="D485" s="442"/>
      <c r="E485" s="149"/>
      <c r="F485" s="151"/>
      <c r="G485" s="149"/>
    </row>
    <row r="486" spans="1:7" customFormat="1" ht="14.65" customHeight="1">
      <c r="A486" s="260"/>
      <c r="B486" s="678" t="s">
        <v>315</v>
      </c>
      <c r="C486" s="312"/>
      <c r="D486" s="1909" t="s">
        <v>1202</v>
      </c>
      <c r="E486" s="1909"/>
      <c r="F486" s="1909"/>
      <c r="G486" s="149"/>
    </row>
    <row r="487" spans="1:7" customFormat="1">
      <c r="A487" s="259"/>
      <c r="B487" s="259"/>
      <c r="C487" s="312"/>
      <c r="D487" s="1909"/>
      <c r="E487" s="1909"/>
      <c r="F487" s="1909"/>
      <c r="G487" s="149"/>
    </row>
    <row r="488" spans="1:7" customFormat="1">
      <c r="A488" s="259"/>
      <c r="B488" s="259"/>
      <c r="C488" s="312"/>
      <c r="D488" s="1909"/>
      <c r="E488" s="1909"/>
      <c r="F488" s="1909"/>
      <c r="G488" s="149"/>
    </row>
    <row r="489" spans="1:7" s="679" customFormat="1">
      <c r="A489" s="259"/>
      <c r="B489" s="259"/>
      <c r="C489" s="312"/>
      <c r="D489" s="699"/>
      <c r="E489" s="699"/>
      <c r="F489" s="699"/>
      <c r="G489" s="149"/>
    </row>
    <row r="490" spans="1:7" customFormat="1" ht="14.65" customHeight="1">
      <c r="A490" s="260"/>
      <c r="B490" s="678" t="s">
        <v>315</v>
      </c>
      <c r="C490" s="312"/>
      <c r="D490" s="1909" t="s">
        <v>1203</v>
      </c>
      <c r="E490" s="1909"/>
      <c r="F490" s="1909"/>
      <c r="G490" s="149"/>
    </row>
    <row r="491" spans="1:7" customFormat="1">
      <c r="A491" s="259"/>
      <c r="B491" s="259"/>
      <c r="C491" s="312"/>
      <c r="D491" s="1909"/>
      <c r="E491" s="1909"/>
      <c r="F491" s="1909"/>
      <c r="G491" s="149"/>
    </row>
    <row r="492" spans="1:7" customFormat="1">
      <c r="A492" s="259"/>
      <c r="B492" s="259"/>
      <c r="C492" s="312"/>
      <c r="D492" s="1909"/>
      <c r="E492" s="1909"/>
      <c r="F492" s="1909"/>
      <c r="G492" s="149"/>
    </row>
    <row r="493" spans="1:7" customFormat="1">
      <c r="A493" s="259"/>
      <c r="B493" s="259"/>
      <c r="C493" s="312"/>
      <c r="D493" s="1909"/>
      <c r="E493" s="1909"/>
      <c r="F493" s="1909"/>
      <c r="G493" s="149"/>
    </row>
    <row r="494" spans="1:7" customFormat="1">
      <c r="A494" s="259"/>
      <c r="B494" s="259"/>
      <c r="C494" s="312"/>
      <c r="D494" s="1909"/>
      <c r="E494" s="1909"/>
      <c r="F494" s="1909"/>
      <c r="G494" s="149"/>
    </row>
    <row r="495" spans="1:7" customFormat="1">
      <c r="A495" s="259"/>
      <c r="B495" s="259"/>
      <c r="C495" s="312"/>
      <c r="D495" s="1909"/>
      <c r="E495" s="1909"/>
      <c r="F495" s="1909"/>
      <c r="G495" s="149"/>
    </row>
    <row r="496" spans="1:7" customFormat="1">
      <c r="A496" s="259"/>
      <c r="B496" s="259"/>
      <c r="C496" s="312"/>
      <c r="D496" s="1909"/>
      <c r="E496" s="1909"/>
      <c r="F496" s="1909"/>
      <c r="G496" s="149"/>
    </row>
    <row r="497" spans="1:7" customFormat="1">
      <c r="A497" s="486"/>
      <c r="B497" s="486"/>
      <c r="C497" s="485"/>
      <c r="D497" s="1909"/>
      <c r="E497" s="1909"/>
      <c r="F497" s="1909"/>
      <c r="G497" s="149"/>
    </row>
    <row r="498" spans="1:7" customFormat="1">
      <c r="A498" s="486"/>
      <c r="B498" s="486"/>
      <c r="C498" s="485"/>
      <c r="D498" s="1909"/>
      <c r="E498" s="1909"/>
      <c r="F498" s="1909"/>
      <c r="G498" s="149"/>
    </row>
    <row r="499" spans="1:7" customFormat="1">
      <c r="A499" s="486"/>
      <c r="B499" s="486"/>
      <c r="C499" s="485"/>
      <c r="D499" s="442"/>
      <c r="E499" s="149"/>
      <c r="F499" s="151"/>
      <c r="G499" s="149"/>
    </row>
    <row r="500" spans="1:7" customFormat="1" ht="13.35" customHeight="1">
      <c r="A500" s="486"/>
      <c r="B500" s="678" t="s">
        <v>315</v>
      </c>
      <c r="C500" s="485"/>
      <c r="D500" s="1922" t="s">
        <v>1347</v>
      </c>
      <c r="E500" s="1922"/>
      <c r="F500" s="1922"/>
      <c r="G500" s="149"/>
    </row>
    <row r="501" spans="1:7" customFormat="1">
      <c r="A501" s="486"/>
      <c r="B501" s="486"/>
      <c r="C501" s="485"/>
      <c r="D501" s="1922"/>
      <c r="E501" s="1922"/>
      <c r="F501" s="1922"/>
      <c r="G501" s="149"/>
    </row>
    <row r="502" spans="1:7" customFormat="1">
      <c r="A502" s="486"/>
      <c r="B502" s="486"/>
      <c r="C502" s="485"/>
      <c r="D502" s="1922"/>
      <c r="E502" s="1922"/>
      <c r="F502" s="1922"/>
      <c r="G502" s="149"/>
    </row>
    <row r="503" spans="1:7" customFormat="1">
      <c r="A503" s="486"/>
      <c r="B503" s="486"/>
      <c r="C503" s="485"/>
      <c r="D503" s="1922"/>
      <c r="E503" s="1922"/>
      <c r="F503" s="1922"/>
      <c r="G503" s="149"/>
    </row>
    <row r="504" spans="1:7" customFormat="1">
      <c r="A504" s="259"/>
      <c r="B504" s="259"/>
      <c r="C504" s="312"/>
      <c r="D504" s="1922"/>
      <c r="E504" s="1922"/>
      <c r="F504" s="1922"/>
      <c r="G504" s="149"/>
    </row>
    <row r="505" spans="1:7" s="716" customFormat="1">
      <c r="A505" s="719"/>
      <c r="B505" s="719"/>
      <c r="C505" s="312"/>
      <c r="D505" s="740"/>
      <c r="E505" s="740"/>
      <c r="F505" s="740"/>
      <c r="G505" s="149"/>
    </row>
    <row r="506" spans="1:7" customFormat="1" ht="14.65" customHeight="1">
      <c r="A506" s="260"/>
      <c r="B506" s="678" t="s">
        <v>315</v>
      </c>
      <c r="C506" s="10"/>
      <c r="D506" s="1909" t="s">
        <v>1205</v>
      </c>
      <c r="E506" s="1909"/>
      <c r="F506" s="1909"/>
      <c r="G506" s="149"/>
    </row>
    <row r="507" spans="1:7" customFormat="1">
      <c r="A507" s="132"/>
      <c r="B507" s="675"/>
      <c r="C507" s="10"/>
      <c r="D507" s="1909"/>
      <c r="E507" s="1909"/>
      <c r="F507" s="1909"/>
      <c r="G507" s="149"/>
    </row>
    <row r="508" spans="1:7" customFormat="1">
      <c r="A508" s="132"/>
      <c r="B508" s="675"/>
      <c r="C508" s="10"/>
      <c r="D508" s="1909"/>
      <c r="E508" s="1909"/>
      <c r="F508" s="1909"/>
      <c r="G508" s="149"/>
    </row>
    <row r="509" spans="1:7" customFormat="1" ht="12" customHeight="1">
      <c r="A509" s="135"/>
      <c r="B509" s="135"/>
      <c r="C509" s="314"/>
      <c r="D509" s="135"/>
      <c r="E509" s="149"/>
      <c r="F509" s="313"/>
      <c r="G509" s="149"/>
    </row>
    <row r="510" spans="1:7">
      <c r="A510" s="1888" t="s">
        <v>1168</v>
      </c>
      <c r="B510" s="1888"/>
      <c r="C510" s="1888"/>
      <c r="D510" s="1888"/>
      <c r="E510" s="1888"/>
      <c r="F510" s="1888"/>
      <c r="G510" s="1888"/>
    </row>
    <row r="511" spans="1:7">
      <c r="A511" s="135"/>
      <c r="B511" s="135"/>
      <c r="C511" s="265"/>
      <c r="F511" s="134"/>
    </row>
    <row r="512" spans="1:7">
      <c r="B512" s="1884" t="s">
        <v>469</v>
      </c>
      <c r="C512" s="1884"/>
      <c r="D512" s="1884"/>
      <c r="E512" s="1884"/>
      <c r="F512" s="1884"/>
    </row>
    <row r="513" spans="1:7">
      <c r="A513" s="135"/>
      <c r="B513" s="135"/>
      <c r="C513" s="265"/>
      <c r="D513" s="135"/>
      <c r="F513" s="135"/>
    </row>
    <row r="514" spans="1:7">
      <c r="A514" s="1889" t="s">
        <v>1169</v>
      </c>
      <c r="B514" s="1889"/>
      <c r="C514" s="1889"/>
      <c r="D514" s="1889"/>
      <c r="E514" s="1889"/>
      <c r="F514" s="1889"/>
      <c r="G514" s="1889"/>
    </row>
    <row r="515" spans="1:7">
      <c r="A515" s="135"/>
      <c r="B515" s="135"/>
      <c r="C515" s="265"/>
      <c r="D515" s="135"/>
      <c r="F515" s="135"/>
    </row>
    <row r="516" spans="1:7">
      <c r="C516" s="265"/>
      <c r="D516" s="1886" t="s">
        <v>719</v>
      </c>
      <c r="E516" s="1886"/>
      <c r="F516" s="1886"/>
    </row>
    <row r="517" spans="1:7" s="681" customFormat="1">
      <c r="A517" s="698"/>
      <c r="B517" s="698"/>
      <c r="C517" s="265"/>
      <c r="D517" s="1887" t="s">
        <v>1226</v>
      </c>
      <c r="E517" s="1887"/>
      <c r="F517" s="1887"/>
      <c r="G517" s="7"/>
    </row>
    <row r="518" spans="1:7" s="681" customFormat="1">
      <c r="A518" s="698"/>
      <c r="B518" s="698"/>
      <c r="C518" s="265"/>
      <c r="D518" s="703"/>
      <c r="E518" s="703"/>
      <c r="F518" s="703"/>
      <c r="G518" s="7"/>
    </row>
    <row r="519" spans="1:7" ht="13.35" customHeight="1">
      <c r="A519" s="260"/>
      <c r="B519" s="678" t="s">
        <v>315</v>
      </c>
      <c r="C519" s="265"/>
      <c r="D519" s="1887" t="s">
        <v>948</v>
      </c>
      <c r="E519" s="1887"/>
      <c r="F519" s="1887"/>
      <c r="G519" s="12"/>
    </row>
    <row r="520" spans="1:7" ht="13.35" customHeight="1">
      <c r="A520" s="265"/>
      <c r="B520" s="265"/>
      <c r="C520" s="265"/>
      <c r="D520" s="703"/>
      <c r="E520" s="676"/>
      <c r="F520" s="676"/>
      <c r="G520" s="12"/>
    </row>
    <row r="521" spans="1:7" ht="14.25">
      <c r="A521" s="260"/>
      <c r="B521" s="678" t="s">
        <v>315</v>
      </c>
      <c r="C521" s="265"/>
      <c r="D521" s="1862" t="s">
        <v>1227</v>
      </c>
      <c r="E521" s="1862"/>
      <c r="F521" s="1862"/>
      <c r="G521" s="12"/>
    </row>
    <row r="522" spans="1:7">
      <c r="A522" s="265"/>
      <c r="B522" s="265"/>
      <c r="C522" s="265"/>
      <c r="D522" s="1862"/>
      <c r="E522" s="1862"/>
      <c r="F522" s="1862"/>
      <c r="G522" s="12"/>
    </row>
    <row r="523" spans="1:7">
      <c r="A523" s="265"/>
      <c r="B523" s="265"/>
      <c r="C523" s="265"/>
      <c r="D523" s="135"/>
      <c r="E523" s="135"/>
      <c r="F523" s="135"/>
      <c r="G523" s="12"/>
    </row>
    <row r="524" spans="1:7" ht="14.25">
      <c r="A524" s="260"/>
      <c r="B524" s="678" t="s">
        <v>315</v>
      </c>
      <c r="C524" s="265"/>
      <c r="D524" s="1862" t="s">
        <v>1228</v>
      </c>
      <c r="E524" s="1862"/>
      <c r="F524" s="1862"/>
      <c r="G524" s="12"/>
    </row>
    <row r="525" spans="1:7">
      <c r="A525" s="265"/>
      <c r="B525" s="265"/>
      <c r="C525" s="265"/>
      <c r="D525" s="1862"/>
      <c r="E525" s="1862"/>
      <c r="F525" s="1862"/>
      <c r="G525" s="12"/>
    </row>
    <row r="526" spans="1:7">
      <c r="A526" s="265"/>
      <c r="B526" s="265"/>
      <c r="C526" s="265"/>
      <c r="D526" s="135"/>
      <c r="E526" s="135"/>
      <c r="F526" s="135"/>
      <c r="G526" s="12"/>
    </row>
    <row r="527" spans="1:7" ht="14.25">
      <c r="A527" s="260"/>
      <c r="B527" s="678" t="s">
        <v>315</v>
      </c>
      <c r="C527" s="265"/>
      <c r="D527" s="1862" t="s">
        <v>1229</v>
      </c>
      <c r="E527" s="1862"/>
      <c r="F527" s="1862"/>
      <c r="G527" s="12"/>
    </row>
    <row r="528" spans="1:7">
      <c r="A528" s="265"/>
      <c r="B528" s="265"/>
      <c r="C528" s="265"/>
      <c r="D528" s="1862"/>
      <c r="E528" s="1862"/>
      <c r="F528" s="1862"/>
      <c r="G528" s="12"/>
    </row>
    <row r="529" spans="1:7">
      <c r="A529" s="265"/>
      <c r="B529" s="265"/>
      <c r="C529" s="265"/>
      <c r="D529" s="135"/>
      <c r="E529" s="135"/>
      <c r="F529" s="135"/>
      <c r="G529" s="12"/>
    </row>
    <row r="530" spans="1:7" ht="14.25">
      <c r="A530" s="260"/>
      <c r="B530" s="678" t="s">
        <v>315</v>
      </c>
      <c r="C530" s="265"/>
      <c r="D530" s="1862" t="s">
        <v>1230</v>
      </c>
      <c r="E530" s="1862"/>
      <c r="F530" s="1862"/>
      <c r="G530" s="12"/>
    </row>
    <row r="531" spans="1:7">
      <c r="A531" s="265"/>
      <c r="B531" s="265"/>
      <c r="C531" s="265"/>
      <c r="D531" s="1862"/>
      <c r="E531" s="1862"/>
      <c r="F531" s="1862"/>
      <c r="G531" s="12"/>
    </row>
    <row r="532" spans="1:7">
      <c r="A532" s="265"/>
      <c r="B532" s="265"/>
      <c r="C532" s="265"/>
      <c r="D532" s="1862"/>
      <c r="E532" s="1862"/>
      <c r="F532" s="1862"/>
      <c r="G532" s="12"/>
    </row>
    <row r="533" spans="1:7">
      <c r="A533" s="265"/>
      <c r="B533" s="265"/>
      <c r="C533" s="265"/>
      <c r="D533" s="135"/>
      <c r="E533" s="135"/>
      <c r="F533" s="135"/>
    </row>
    <row r="534" spans="1:7" ht="14.25">
      <c r="A534" s="260"/>
      <c r="B534" s="678" t="s">
        <v>315</v>
      </c>
      <c r="C534" s="265"/>
      <c r="D534" s="1885" t="s">
        <v>1348</v>
      </c>
      <c r="E534" s="1885"/>
      <c r="F534" s="1885"/>
    </row>
    <row r="535" spans="1:7">
      <c r="A535" s="265"/>
      <c r="B535" s="265"/>
      <c r="C535" s="265"/>
      <c r="D535" s="1885"/>
      <c r="E535" s="1885"/>
      <c r="F535" s="1885"/>
    </row>
    <row r="536" spans="1:7">
      <c r="A536" s="265"/>
      <c r="B536" s="265"/>
      <c r="C536" s="265"/>
      <c r="D536" s="135"/>
      <c r="E536" s="135"/>
      <c r="F536" s="135"/>
    </row>
    <row r="537" spans="1:7" ht="14.25">
      <c r="A537" s="260"/>
      <c r="B537" s="678" t="s">
        <v>315</v>
      </c>
      <c r="C537" s="265"/>
      <c r="D537" s="1885" t="s">
        <v>1231</v>
      </c>
      <c r="E537" s="1885"/>
      <c r="F537" s="1885"/>
    </row>
    <row r="538" spans="1:7">
      <c r="A538" s="265"/>
      <c r="B538" s="265"/>
      <c r="C538" s="265"/>
      <c r="D538" s="1885"/>
      <c r="E538" s="1885"/>
      <c r="F538" s="1885"/>
    </row>
    <row r="539" spans="1:7">
      <c r="A539" s="265"/>
      <c r="B539" s="265"/>
      <c r="C539" s="265"/>
      <c r="D539" s="135"/>
      <c r="E539" s="135"/>
      <c r="F539" s="135"/>
    </row>
    <row r="540" spans="1:7" ht="14.25">
      <c r="A540" s="260"/>
      <c r="B540" s="678" t="s">
        <v>315</v>
      </c>
      <c r="C540" s="265"/>
      <c r="D540" s="1862" t="s">
        <v>1232</v>
      </c>
      <c r="E540" s="1862"/>
      <c r="F540" s="1862"/>
    </row>
    <row r="541" spans="1:7">
      <c r="A541" s="265"/>
      <c r="B541" s="265"/>
      <c r="C541" s="265"/>
      <c r="D541" s="1862"/>
      <c r="E541" s="1862"/>
      <c r="F541" s="1862"/>
      <c r="G541" s="57"/>
    </row>
    <row r="542" spans="1:7">
      <c r="A542" s="265"/>
      <c r="B542" s="265"/>
      <c r="C542" s="265"/>
      <c r="D542" s="135"/>
      <c r="E542" s="135"/>
      <c r="F542" s="135"/>
      <c r="G542" s="57"/>
    </row>
    <row r="543" spans="1:7" ht="14.25">
      <c r="A543" s="260"/>
      <c r="B543" s="678" t="s">
        <v>315</v>
      </c>
      <c r="C543" s="265"/>
      <c r="D543" s="1887" t="s">
        <v>1233</v>
      </c>
      <c r="E543" s="1887"/>
      <c r="F543" s="1887"/>
      <c r="G543" s="57"/>
    </row>
    <row r="544" spans="1:7">
      <c r="A544" s="23"/>
      <c r="B544" s="674"/>
      <c r="C544" s="265"/>
      <c r="D544" s="1887" t="s">
        <v>880</v>
      </c>
      <c r="E544" s="1887"/>
      <c r="F544" s="1887"/>
      <c r="G544" s="57"/>
    </row>
    <row r="545" spans="1:7">
      <c r="A545" s="23"/>
      <c r="B545" s="674"/>
      <c r="C545" s="265"/>
      <c r="D545" s="6"/>
      <c r="E545" s="1892" t="s">
        <v>1234</v>
      </c>
      <c r="F545" s="1892"/>
      <c r="G545" s="57"/>
    </row>
    <row r="546" spans="1:7" ht="14.25">
      <c r="A546" s="260"/>
      <c r="B546" s="260"/>
      <c r="C546" s="265"/>
      <c r="E546" s="135"/>
      <c r="F546" s="135"/>
      <c r="G546" s="57"/>
    </row>
    <row r="547" spans="1:7" ht="14.25">
      <c r="A547" s="260"/>
      <c r="B547" s="678" t="s">
        <v>315</v>
      </c>
      <c r="C547" s="265"/>
      <c r="D547" s="1893" t="s">
        <v>1235</v>
      </c>
      <c r="E547" s="1893"/>
      <c r="F547" s="1893"/>
      <c r="G547" s="57"/>
    </row>
    <row r="548" spans="1:7">
      <c r="C548" s="265"/>
      <c r="D548" s="1862" t="s">
        <v>1236</v>
      </c>
      <c r="E548" s="1862"/>
      <c r="F548" s="1862"/>
      <c r="G548" s="57"/>
    </row>
    <row r="549" spans="1:7">
      <c r="A549" s="265"/>
      <c r="B549" s="265"/>
      <c r="C549" s="265"/>
      <c r="D549" s="1862"/>
      <c r="E549" s="1862"/>
      <c r="F549" s="1862"/>
      <c r="G549" s="57"/>
    </row>
    <row r="550" spans="1:7">
      <c r="A550" s="265"/>
      <c r="B550" s="265"/>
      <c r="C550" s="265"/>
      <c r="D550" s="1862"/>
      <c r="E550" s="1862"/>
      <c r="F550" s="1862"/>
      <c r="G550" s="57"/>
    </row>
    <row r="551" spans="1:7">
      <c r="A551" s="265"/>
      <c r="B551" s="265"/>
      <c r="C551" s="265"/>
      <c r="D551" s="135"/>
      <c r="E551" s="135"/>
      <c r="F551" s="135"/>
      <c r="G551" s="57"/>
    </row>
    <row r="552" spans="1:7" ht="14.25">
      <c r="A552" s="260"/>
      <c r="B552" s="678" t="s">
        <v>315</v>
      </c>
      <c r="C552" s="265"/>
      <c r="D552" s="1862" t="s">
        <v>1237</v>
      </c>
      <c r="E552" s="1862"/>
      <c r="F552" s="1862"/>
      <c r="G552" s="57"/>
    </row>
    <row r="553" spans="1:7" ht="14.25">
      <c r="A553" s="260"/>
      <c r="B553" s="260"/>
      <c r="C553" s="265"/>
      <c r="D553" s="1862"/>
      <c r="E553" s="1862"/>
      <c r="F553" s="1862"/>
      <c r="G553" s="57"/>
    </row>
    <row r="554" spans="1:7" ht="14.25">
      <c r="A554" s="260"/>
      <c r="B554" s="260"/>
      <c r="C554" s="265"/>
      <c r="D554" s="1862"/>
      <c r="E554" s="1862"/>
      <c r="F554" s="1862"/>
      <c r="G554" s="57"/>
    </row>
    <row r="555" spans="1:7" ht="14.25">
      <c r="A555" s="260"/>
      <c r="B555" s="260"/>
      <c r="C555" s="265"/>
      <c r="D555" s="1862"/>
      <c r="E555" s="1862"/>
      <c r="F555" s="1862"/>
      <c r="G555" s="57"/>
    </row>
    <row r="556" spans="1:7" ht="14.25">
      <c r="A556" s="260"/>
      <c r="B556" s="260"/>
      <c r="C556" s="265"/>
      <c r="D556" s="135"/>
      <c r="E556" s="135"/>
      <c r="F556" s="135"/>
      <c r="G556" s="57"/>
    </row>
    <row r="557" spans="1:7">
      <c r="A557" s="1888" t="s">
        <v>1170</v>
      </c>
      <c r="B557" s="1888"/>
      <c r="C557" s="1888"/>
      <c r="D557" s="1888"/>
      <c r="E557" s="1888"/>
      <c r="F557" s="1888"/>
      <c r="G557" s="1888"/>
    </row>
    <row r="558" spans="1:7">
      <c r="A558" s="265"/>
      <c r="B558" s="265"/>
      <c r="C558" s="265"/>
      <c r="E558" s="135"/>
      <c r="F558" s="135"/>
      <c r="G558" s="57"/>
    </row>
    <row r="559" spans="1:7" ht="12.75" customHeight="1">
      <c r="C559" s="254"/>
      <c r="D559" s="1904" t="s">
        <v>215</v>
      </c>
      <c r="E559" s="1904"/>
      <c r="F559" s="1904"/>
      <c r="G559" s="57"/>
    </row>
    <row r="560" spans="1:7">
      <c r="A560" s="259"/>
      <c r="B560" s="259"/>
      <c r="C560" s="259"/>
      <c r="D560" s="1910" t="s">
        <v>1186</v>
      </c>
      <c r="E560" s="1910"/>
      <c r="F560" s="1910"/>
      <c r="G560" s="57"/>
    </row>
    <row r="561" spans="1:7">
      <c r="A561" s="12"/>
      <c r="B561" s="12"/>
      <c r="C561" s="259"/>
      <c r="D561" s="376"/>
      <c r="G561" s="57"/>
    </row>
    <row r="562" spans="1:7">
      <c r="A562" s="259"/>
      <c r="B562" s="678" t="s">
        <v>315</v>
      </c>
      <c r="D562" s="1910" t="s">
        <v>954</v>
      </c>
      <c r="E562" s="1910"/>
      <c r="F562" s="1910"/>
      <c r="G562" s="57"/>
    </row>
    <row r="563" spans="1:7">
      <c r="A563" s="23"/>
      <c r="B563" s="674"/>
      <c r="D563" s="324"/>
    </row>
    <row r="564" spans="1:7">
      <c r="A564" s="23"/>
      <c r="B564" s="678" t="s">
        <v>315</v>
      </c>
      <c r="D564" s="1911" t="s">
        <v>1187</v>
      </c>
      <c r="E564" s="1911"/>
      <c r="F564" s="1911"/>
    </row>
    <row r="565" spans="1:7">
      <c r="A565" s="23"/>
      <c r="B565" s="674"/>
      <c r="D565" s="1911"/>
      <c r="E565" s="1911"/>
      <c r="F565" s="1911"/>
    </row>
    <row r="566" spans="1:7">
      <c r="A566" s="23"/>
      <c r="B566" s="687"/>
      <c r="D566" s="1911"/>
      <c r="E566" s="1911"/>
      <c r="F566" s="1911"/>
    </row>
    <row r="567" spans="1:7">
      <c r="A567" s="23"/>
      <c r="B567" s="674"/>
      <c r="D567" s="477"/>
    </row>
    <row r="568" spans="1:7" s="681" customFormat="1">
      <c r="A568" s="687"/>
      <c r="B568" s="678" t="s">
        <v>315</v>
      </c>
      <c r="C568" s="688"/>
      <c r="D568" s="1911" t="s">
        <v>1188</v>
      </c>
      <c r="E568" s="1911"/>
      <c r="F568" s="1911"/>
      <c r="G568" s="7"/>
    </row>
    <row r="569" spans="1:7" s="681" customFormat="1">
      <c r="A569" s="687"/>
      <c r="B569" s="687"/>
      <c r="C569" s="688"/>
      <c r="D569" s="1911"/>
      <c r="E569" s="1911"/>
      <c r="F569" s="1911"/>
      <c r="G569" s="7"/>
    </row>
    <row r="570" spans="1:7" s="681" customFormat="1">
      <c r="A570" s="687"/>
      <c r="B570" s="687"/>
      <c r="C570" s="688"/>
      <c r="D570" s="1911"/>
      <c r="E570" s="1911"/>
      <c r="F570" s="1911"/>
      <c r="G570" s="7"/>
    </row>
    <row r="571" spans="1:7" s="681" customFormat="1">
      <c r="A571" s="687"/>
      <c r="B571" s="687"/>
      <c r="C571" s="688"/>
      <c r="D571" s="1911"/>
      <c r="E571" s="1911"/>
      <c r="F571" s="1911"/>
      <c r="G571" s="7"/>
    </row>
    <row r="572" spans="1:7" s="681" customFormat="1">
      <c r="A572" s="687"/>
      <c r="B572" s="687"/>
      <c r="C572" s="688"/>
      <c r="D572" s="693"/>
      <c r="E572" s="693"/>
      <c r="F572" s="693"/>
      <c r="G572" s="7"/>
    </row>
    <row r="573" spans="1:7">
      <c r="A573" s="23"/>
      <c r="B573" s="678" t="s">
        <v>315</v>
      </c>
      <c r="D573" s="1911" t="s">
        <v>1189</v>
      </c>
      <c r="E573" s="1911"/>
      <c r="F573" s="1911"/>
    </row>
    <row r="574" spans="1:7">
      <c r="A574" s="23"/>
      <c r="B574" s="674"/>
      <c r="D574" s="1911"/>
      <c r="E574" s="1911"/>
      <c r="F574" s="1911"/>
    </row>
    <row r="575" spans="1:7">
      <c r="A575" s="23"/>
      <c r="B575" s="674"/>
      <c r="D575" s="376"/>
    </row>
    <row r="576" spans="1:7" s="681" customFormat="1">
      <c r="A576" s="687"/>
      <c r="B576" s="678" t="s">
        <v>315</v>
      </c>
      <c r="C576" s="688"/>
      <c r="D576" s="1910" t="s">
        <v>1190</v>
      </c>
      <c r="E576" s="1910"/>
      <c r="F576" s="1910"/>
      <c r="G576" s="7"/>
    </row>
    <row r="577" spans="1:7" s="681" customFormat="1">
      <c r="A577" s="687"/>
      <c r="B577" s="687"/>
      <c r="C577" s="688"/>
      <c r="D577" s="1910"/>
      <c r="E577" s="1910"/>
      <c r="F577" s="1910"/>
      <c r="G577" s="7"/>
    </row>
    <row r="578" spans="1:7" s="681" customFormat="1">
      <c r="A578" s="687"/>
      <c r="B578" s="687"/>
      <c r="C578" s="688"/>
      <c r="D578" s="376"/>
      <c r="E578" s="7"/>
      <c r="F578" s="7"/>
      <c r="G578" s="7"/>
    </row>
    <row r="579" spans="1:7" ht="14.25">
      <c r="A579" s="260"/>
      <c r="B579" s="678" t="s">
        <v>315</v>
      </c>
      <c r="D579" s="1910" t="s">
        <v>949</v>
      </c>
      <c r="E579" s="1910"/>
      <c r="F579" s="1910"/>
    </row>
    <row r="580" spans="1:7" ht="14.25">
      <c r="A580" s="260"/>
      <c r="B580" s="260"/>
      <c r="D580" s="376"/>
    </row>
    <row r="581" spans="1:7" ht="14.25">
      <c r="A581" s="260"/>
      <c r="B581" s="678" t="s">
        <v>315</v>
      </c>
      <c r="D581" s="1910" t="s">
        <v>1191</v>
      </c>
      <c r="E581" s="1910"/>
      <c r="F581" s="1910"/>
    </row>
    <row r="582" spans="1:7" ht="14.25">
      <c r="A582" s="260"/>
      <c r="B582" s="260"/>
      <c r="D582" s="1910"/>
      <c r="E582" s="1910"/>
      <c r="F582" s="1910"/>
    </row>
    <row r="583" spans="1:7">
      <c r="D583" s="1910"/>
      <c r="E583" s="1910"/>
      <c r="F583" s="1910"/>
    </row>
    <row r="584" spans="1:7">
      <c r="D584" s="1910"/>
      <c r="E584" s="1910"/>
      <c r="F584" s="1910"/>
    </row>
    <row r="585" spans="1:7" s="681" customFormat="1">
      <c r="A585" s="688"/>
      <c r="B585" s="688"/>
      <c r="C585" s="688"/>
      <c r="D585" s="1910"/>
      <c r="E585" s="1910"/>
      <c r="F585" s="1910"/>
      <c r="G585" s="7"/>
    </row>
    <row r="586" spans="1:7" s="681" customFormat="1">
      <c r="A586" s="688"/>
      <c r="B586" s="688"/>
      <c r="C586" s="688"/>
      <c r="D586" s="1910"/>
      <c r="E586" s="1910"/>
      <c r="F586" s="1910"/>
      <c r="G586" s="7"/>
    </row>
    <row r="587" spans="1:7"/>
    <row r="588" spans="1:7">
      <c r="A588" s="1888" t="s">
        <v>1171</v>
      </c>
      <c r="B588" s="1888"/>
      <c r="C588" s="1888"/>
      <c r="D588" s="1888"/>
      <c r="E588" s="1888"/>
      <c r="F588" s="1888"/>
      <c r="G588" s="1888"/>
    </row>
    <row r="589" spans="1:7"/>
    <row r="590" spans="1:7">
      <c r="D590" s="1878" t="s">
        <v>1271</v>
      </c>
      <c r="E590" s="1878"/>
      <c r="F590" s="1878"/>
    </row>
    <row r="591" spans="1:7">
      <c r="D591" s="1879" t="s">
        <v>1272</v>
      </c>
      <c r="E591" s="1879"/>
      <c r="F591" s="1879"/>
    </row>
    <row r="592" spans="1:7" s="718" customFormat="1">
      <c r="A592" s="704"/>
      <c r="B592" s="704"/>
      <c r="C592" s="704"/>
      <c r="D592" s="722"/>
      <c r="E592" s="721"/>
      <c r="F592" s="721"/>
      <c r="G592" s="7"/>
    </row>
    <row r="593" spans="1:7" s="39" customFormat="1" ht="14.25">
      <c r="A593" s="402"/>
      <c r="B593" s="678" t="s">
        <v>315</v>
      </c>
      <c r="C593" s="272"/>
      <c r="D593" s="1880" t="s">
        <v>1273</v>
      </c>
      <c r="E593" s="1880"/>
      <c r="F593" s="1880"/>
      <c r="G593" s="130"/>
    </row>
    <row r="594" spans="1:7">
      <c r="D594" s="1880"/>
      <c r="E594" s="1880"/>
      <c r="F594" s="1880"/>
    </row>
    <row r="595" spans="1:7">
      <c r="D595" s="1880"/>
      <c r="E595" s="1880"/>
      <c r="F595" s="1880"/>
    </row>
    <row r="596" spans="1:7"/>
    <row r="597" spans="1:7">
      <c r="A597" s="1888" t="s">
        <v>1172</v>
      </c>
      <c r="B597" s="1888"/>
      <c r="C597" s="1888"/>
      <c r="D597" s="1888"/>
      <c r="E597" s="1888"/>
      <c r="F597" s="1888"/>
      <c r="G597" s="1888"/>
    </row>
    <row r="598" spans="1:7">
      <c r="A598" s="135"/>
      <c r="B598" s="135"/>
      <c r="G598" s="57"/>
    </row>
    <row r="599" spans="1:7">
      <c r="A599" s="256"/>
      <c r="B599" s="673"/>
      <c r="C599" s="254"/>
      <c r="D599" s="1881" t="s">
        <v>1274</v>
      </c>
      <c r="E599" s="1881"/>
      <c r="F599" s="1881"/>
      <c r="G599" s="57"/>
    </row>
    <row r="600" spans="1:7">
      <c r="A600" s="256"/>
      <c r="B600" s="673"/>
      <c r="C600" s="254"/>
      <c r="D600" s="1881"/>
      <c r="E600" s="1881"/>
      <c r="F600" s="1881"/>
      <c r="G600" s="57"/>
    </row>
    <row r="601" spans="1:7">
      <c r="C601" s="259"/>
      <c r="D601" s="1879" t="s">
        <v>1275</v>
      </c>
      <c r="E601" s="1879"/>
      <c r="F601" s="1879"/>
      <c r="G601" s="57"/>
    </row>
    <row r="602" spans="1:7" s="718" customFormat="1">
      <c r="A602" s="704"/>
      <c r="B602" s="704"/>
      <c r="C602" s="719"/>
      <c r="D602" s="723"/>
      <c r="E602" s="723"/>
      <c r="F602" s="723"/>
      <c r="G602" s="57"/>
    </row>
    <row r="603" spans="1:7">
      <c r="A603" s="23"/>
      <c r="B603" s="678" t="s">
        <v>315</v>
      </c>
      <c r="D603" s="1879" t="s">
        <v>452</v>
      </c>
      <c r="E603" s="1879"/>
      <c r="F603" s="1879"/>
      <c r="G603" s="57"/>
    </row>
    <row r="604" spans="1:7">
      <c r="C604" s="267"/>
      <c r="E604" s="12"/>
      <c r="G604" s="57"/>
    </row>
    <row r="605" spans="1:7">
      <c r="A605" s="23"/>
      <c r="B605" s="678" t="s">
        <v>315</v>
      </c>
      <c r="D605" s="1882" t="s">
        <v>1276</v>
      </c>
      <c r="E605" s="1882"/>
      <c r="F605" s="1882"/>
      <c r="G605" s="57"/>
    </row>
    <row r="606" spans="1:7">
      <c r="D606" s="1882"/>
      <c r="E606" s="1882"/>
      <c r="F606" s="1882"/>
      <c r="G606" s="57"/>
    </row>
    <row r="607" spans="1:7">
      <c r="D607" s="12"/>
      <c r="G607" s="57"/>
    </row>
    <row r="608" spans="1:7">
      <c r="B608" s="678" t="s">
        <v>315</v>
      </c>
      <c r="D608" s="1882" t="s">
        <v>1277</v>
      </c>
      <c r="E608" s="1882"/>
      <c r="F608" s="1882"/>
      <c r="G608" s="57"/>
    </row>
    <row r="609" spans="1:7">
      <c r="C609" s="267"/>
      <c r="D609" s="1882"/>
      <c r="E609" s="1882"/>
      <c r="F609" s="1882"/>
      <c r="G609" s="57"/>
    </row>
    <row r="610" spans="1:7">
      <c r="C610" s="267"/>
      <c r="G610" s="57"/>
    </row>
    <row r="611" spans="1:7">
      <c r="B611" s="678" t="s">
        <v>315</v>
      </c>
      <c r="C611" s="267"/>
      <c r="D611" s="1882" t="s">
        <v>1278</v>
      </c>
      <c r="E611" s="1882"/>
      <c r="F611" s="1882"/>
      <c r="G611" s="57"/>
    </row>
    <row r="612" spans="1:7">
      <c r="C612" s="267"/>
      <c r="D612" s="1882"/>
      <c r="E612" s="1882"/>
      <c r="F612" s="1882"/>
      <c r="G612" s="57"/>
    </row>
    <row r="613" spans="1:7">
      <c r="C613" s="267"/>
      <c r="G613" s="57"/>
    </row>
    <row r="614" spans="1:7">
      <c r="A614" s="1888" t="s">
        <v>1173</v>
      </c>
      <c r="B614" s="1888"/>
      <c r="C614" s="1888"/>
      <c r="D614" s="1888"/>
      <c r="E614" s="1888"/>
      <c r="F614" s="1888"/>
      <c r="G614" s="1888"/>
    </row>
    <row r="615" spans="1:7">
      <c r="A615" s="266"/>
      <c r="B615" s="266"/>
      <c r="C615" s="266"/>
      <c r="G615" s="57"/>
    </row>
    <row r="616" spans="1:7">
      <c r="C616" s="23"/>
      <c r="D616" s="1878" t="s">
        <v>1279</v>
      </c>
      <c r="E616" s="1878"/>
      <c r="F616" s="1878"/>
      <c r="G616" s="57"/>
    </row>
    <row r="617" spans="1:7">
      <c r="A617" s="23"/>
      <c r="B617" s="674"/>
      <c r="C617" s="264"/>
      <c r="D617" s="50"/>
      <c r="G617" s="57"/>
    </row>
    <row r="618" spans="1:7" ht="14.25">
      <c r="A618" s="260"/>
      <c r="B618" s="678" t="s">
        <v>315</v>
      </c>
      <c r="C618" s="264"/>
      <c r="D618" s="1923" t="s">
        <v>1280</v>
      </c>
      <c r="E618" s="1923"/>
      <c r="F618" s="1923"/>
      <c r="G618" s="57"/>
    </row>
    <row r="619" spans="1:7">
      <c r="C619" s="264"/>
      <c r="D619" s="1923"/>
      <c r="E619" s="1923"/>
      <c r="F619" s="1923"/>
      <c r="G619" s="57"/>
    </row>
    <row r="620" spans="1:7">
      <c r="C620" s="264"/>
      <c r="D620" s="1923"/>
      <c r="E620" s="1923"/>
      <c r="F620" s="1923"/>
      <c r="G620" s="57"/>
    </row>
    <row r="621" spans="1:7">
      <c r="C621" s="264"/>
      <c r="D621" s="1923"/>
      <c r="E621" s="1923"/>
      <c r="F621" s="1923"/>
      <c r="G621" s="57"/>
    </row>
    <row r="622" spans="1:7">
      <c r="C622" s="264"/>
      <c r="D622" s="1923"/>
      <c r="E622" s="1923"/>
      <c r="F622" s="1923"/>
      <c r="G622" s="57"/>
    </row>
    <row r="623" spans="1:7">
      <c r="C623" s="264"/>
      <c r="D623" s="1923"/>
      <c r="E623" s="1923"/>
      <c r="F623" s="1923"/>
      <c r="G623" s="57"/>
    </row>
    <row r="624" spans="1:7" s="718" customFormat="1">
      <c r="A624" s="704"/>
      <c r="B624" s="704"/>
      <c r="C624" s="264"/>
      <c r="D624" s="724"/>
      <c r="E624" s="724"/>
      <c r="F624" s="724"/>
      <c r="G624" s="57"/>
    </row>
    <row r="625" spans="1:7" ht="14.25">
      <c r="A625" s="260"/>
      <c r="B625" s="678" t="s">
        <v>315</v>
      </c>
      <c r="C625" s="264"/>
      <c r="D625" s="1923" t="s">
        <v>1281</v>
      </c>
      <c r="E625" s="1923"/>
      <c r="F625" s="1923"/>
      <c r="G625" s="57"/>
    </row>
    <row r="626" spans="1:7">
      <c r="A626" s="265"/>
      <c r="B626" s="265"/>
      <c r="C626" s="265"/>
      <c r="D626" s="1923"/>
      <c r="E626" s="1923"/>
      <c r="F626" s="1923"/>
      <c r="G626" s="57"/>
    </row>
    <row r="627" spans="1:7">
      <c r="A627" s="265"/>
      <c r="B627" s="265"/>
      <c r="C627" s="265"/>
      <c r="D627" s="151"/>
      <c r="E627" s="147"/>
      <c r="F627" s="147"/>
      <c r="G627" s="57"/>
    </row>
    <row r="628" spans="1:7" ht="14.25">
      <c r="A628" s="260"/>
      <c r="B628" s="678" t="s">
        <v>315</v>
      </c>
      <c r="C628" s="265"/>
      <c r="D628" s="1880" t="s">
        <v>1282</v>
      </c>
      <c r="E628" s="1880"/>
      <c r="F628" s="1880"/>
      <c r="G628" s="57"/>
    </row>
    <row r="629" spans="1:7" ht="14.25">
      <c r="A629" s="260"/>
      <c r="B629" s="260"/>
      <c r="C629" s="265"/>
      <c r="D629" s="1880"/>
      <c r="E629" s="1880"/>
      <c r="F629" s="1880"/>
      <c r="G629" s="57"/>
    </row>
    <row r="630" spans="1:7" ht="14.25">
      <c r="A630" s="260"/>
      <c r="B630" s="260"/>
      <c r="C630" s="265"/>
      <c r="D630" s="1880"/>
      <c r="E630" s="1880"/>
      <c r="F630" s="1880"/>
      <c r="G630" s="57"/>
    </row>
    <row r="631" spans="1:7">
      <c r="A631" s="265"/>
      <c r="B631" s="265"/>
      <c r="C631" s="265"/>
      <c r="D631" s="1880"/>
      <c r="E631" s="1880"/>
      <c r="F631" s="1880"/>
      <c r="G631" s="57"/>
    </row>
    <row r="632" spans="1:7" s="718" customFormat="1">
      <c r="A632" s="265"/>
      <c r="B632" s="265"/>
      <c r="C632" s="265"/>
      <c r="D632" s="725"/>
      <c r="E632" s="725"/>
      <c r="F632" s="725"/>
      <c r="G632" s="57"/>
    </row>
    <row r="633" spans="1:7">
      <c r="A633" s="265"/>
      <c r="B633" s="678" t="s">
        <v>315</v>
      </c>
      <c r="C633" s="265"/>
      <c r="D633" s="1928" t="s">
        <v>1283</v>
      </c>
      <c r="E633" s="1928"/>
      <c r="F633" s="1928"/>
      <c r="G633" s="57"/>
    </row>
    <row r="634" spans="1:7">
      <c r="A634" s="265"/>
      <c r="B634" s="265"/>
      <c r="C634" s="265"/>
      <c r="D634" s="726"/>
      <c r="E634" s="726"/>
      <c r="F634" s="726"/>
      <c r="G634" s="57"/>
    </row>
    <row r="635" spans="1:7">
      <c r="A635" s="1888" t="s">
        <v>1174</v>
      </c>
      <c r="B635" s="1888"/>
      <c r="C635" s="1888"/>
      <c r="D635" s="1888"/>
      <c r="E635" s="1888"/>
      <c r="F635" s="1888"/>
      <c r="G635" s="1888"/>
    </row>
    <row r="636" spans="1:7">
      <c r="A636" s="135"/>
      <c r="B636" s="135"/>
      <c r="C636" s="265"/>
      <c r="D636" s="147"/>
      <c r="E636" s="147"/>
      <c r="F636" s="147"/>
      <c r="G636" s="57"/>
    </row>
    <row r="637" spans="1:7">
      <c r="C637" s="266"/>
      <c r="D637" s="1929" t="s">
        <v>1333</v>
      </c>
      <c r="E637" s="1929"/>
      <c r="F637" s="1929"/>
      <c r="G637" s="57"/>
    </row>
    <row r="638" spans="1:7">
      <c r="A638" s="259"/>
      <c r="B638" s="259"/>
      <c r="C638" s="259"/>
      <c r="D638" s="1930" t="s">
        <v>1334</v>
      </c>
      <c r="E638" s="1930"/>
      <c r="F638" s="1930"/>
      <c r="G638" s="57"/>
    </row>
    <row r="639" spans="1:7" s="718" customFormat="1">
      <c r="A639" s="719"/>
      <c r="B639" s="719"/>
      <c r="C639" s="719"/>
      <c r="D639" s="733"/>
      <c r="E639" s="733"/>
      <c r="F639" s="733"/>
      <c r="G639" s="57"/>
    </row>
    <row r="640" spans="1:7" ht="14.65" customHeight="1">
      <c r="A640" s="260"/>
      <c r="B640" s="678" t="s">
        <v>315</v>
      </c>
      <c r="C640" s="265"/>
      <c r="D640" s="1876" t="s">
        <v>1335</v>
      </c>
      <c r="E640" s="1876"/>
      <c r="F640" s="1876"/>
      <c r="G640" s="57"/>
    </row>
    <row r="641" spans="1:11" ht="14.25">
      <c r="A641" s="260"/>
      <c r="B641" s="260"/>
      <c r="C641" s="265"/>
      <c r="D641" s="1876"/>
      <c r="E641" s="1876"/>
      <c r="F641" s="1876"/>
      <c r="G641" s="57"/>
    </row>
    <row r="642" spans="1:11" ht="14.25">
      <c r="A642" s="260"/>
      <c r="B642" s="260"/>
      <c r="C642" s="265"/>
      <c r="D642" s="1876"/>
      <c r="E642" s="1876"/>
      <c r="F642" s="1876"/>
      <c r="G642" s="57"/>
    </row>
    <row r="643" spans="1:11" ht="14.25">
      <c r="A643" s="260"/>
      <c r="B643" s="260"/>
      <c r="C643" s="265"/>
      <c r="D643" s="1876"/>
      <c r="E643" s="1876"/>
      <c r="F643" s="1876"/>
      <c r="G643" s="57"/>
    </row>
    <row r="644" spans="1:11" s="681" customFormat="1" ht="14.25">
      <c r="A644" s="260"/>
      <c r="B644" s="260"/>
      <c r="C644" s="265"/>
      <c r="D644" s="1876"/>
      <c r="E644" s="1876"/>
      <c r="F644" s="1876"/>
      <c r="G644" s="57"/>
    </row>
    <row r="645" spans="1:11" s="718" customFormat="1" ht="14.25">
      <c r="A645" s="713"/>
      <c r="B645" s="713"/>
      <c r="C645" s="265"/>
      <c r="D645" s="735"/>
      <c r="E645" s="735"/>
      <c r="F645" s="735"/>
      <c r="G645" s="57"/>
    </row>
    <row r="646" spans="1:11" s="681" customFormat="1" ht="14.25">
      <c r="A646" s="260"/>
      <c r="B646" s="678" t="s">
        <v>315</v>
      </c>
      <c r="C646" s="265"/>
      <c r="D646" s="1906" t="s">
        <v>1185</v>
      </c>
      <c r="E646" s="1906"/>
      <c r="F646" s="1906"/>
      <c r="G646" s="57"/>
    </row>
    <row r="647" spans="1:11" s="681" customFormat="1" ht="14.25">
      <c r="A647" s="260"/>
      <c r="B647" s="260"/>
      <c r="C647" s="265"/>
      <c r="D647" s="1907" t="s">
        <v>1336</v>
      </c>
      <c r="E647" s="1907"/>
      <c r="F647" s="1907"/>
      <c r="G647" s="57"/>
    </row>
    <row r="648" spans="1:11" s="681" customFormat="1" ht="14.25">
      <c r="A648" s="260"/>
      <c r="B648" s="260"/>
      <c r="C648" s="265"/>
      <c r="D648" s="1907"/>
      <c r="E648" s="1907"/>
      <c r="F648" s="1907"/>
      <c r="G648" s="57"/>
    </row>
    <row r="649" spans="1:11" s="681" customFormat="1" ht="14.25">
      <c r="A649" s="260"/>
      <c r="B649" s="260"/>
      <c r="C649" s="265"/>
      <c r="D649" s="1907"/>
      <c r="E649" s="1907"/>
      <c r="F649" s="1907"/>
      <c r="G649" s="57"/>
    </row>
    <row r="650" spans="1:11" s="681" customFormat="1" ht="14.25">
      <c r="A650" s="260"/>
      <c r="B650" s="260"/>
      <c r="C650" s="265"/>
      <c r="D650" s="1907"/>
      <c r="E650" s="1907"/>
      <c r="F650" s="1907"/>
      <c r="G650" s="57"/>
    </row>
    <row r="651" spans="1:11" s="681" customFormat="1" ht="14.25">
      <c r="A651" s="260"/>
      <c r="B651" s="260"/>
      <c r="C651" s="265"/>
      <c r="D651" s="1907"/>
      <c r="E651" s="1907"/>
      <c r="F651" s="1907"/>
      <c r="G651" s="57"/>
    </row>
    <row r="652" spans="1:11" s="681" customFormat="1" ht="14.25">
      <c r="A652" s="260"/>
      <c r="B652" s="260"/>
      <c r="C652" s="265"/>
      <c r="D652" s="1908" t="s">
        <v>1337</v>
      </c>
      <c r="E652" s="1908"/>
      <c r="F652" s="1908"/>
      <c r="G652" s="57"/>
    </row>
    <row r="653" spans="1:11">
      <c r="A653" s="265"/>
      <c r="B653" s="265"/>
      <c r="C653" s="265"/>
      <c r="D653" s="147"/>
      <c r="E653" s="147"/>
      <c r="F653" s="147"/>
      <c r="G653" s="57"/>
    </row>
    <row r="654" spans="1:11">
      <c r="A654" s="1888" t="s">
        <v>1175</v>
      </c>
      <c r="B654" s="1888"/>
      <c r="C654" s="1888"/>
      <c r="D654" s="1888"/>
      <c r="E654" s="1888"/>
      <c r="F654" s="1888"/>
      <c r="G654" s="1888"/>
      <c r="H654" s="268"/>
      <c r="I654" s="268"/>
      <c r="J654" s="268"/>
      <c r="K654" s="268"/>
    </row>
    <row r="655" spans="1:11" s="718" customFormat="1">
      <c r="A655" s="734"/>
      <c r="B655" s="734"/>
      <c r="C655" s="734"/>
      <c r="D655" s="734"/>
      <c r="E655" s="734"/>
      <c r="F655" s="734"/>
      <c r="G655" s="734"/>
      <c r="H655" s="268"/>
      <c r="I655" s="268"/>
      <c r="J655" s="268"/>
      <c r="K655" s="268"/>
    </row>
    <row r="656" spans="1:11">
      <c r="C656" s="266"/>
      <c r="D656" s="1886" t="s">
        <v>104</v>
      </c>
      <c r="E656" s="1886"/>
      <c r="F656" s="1886"/>
      <c r="G656" s="57"/>
      <c r="H656" s="268"/>
      <c r="I656" s="268"/>
      <c r="J656" s="268"/>
      <c r="K656" s="268"/>
    </row>
    <row r="657" spans="1:11">
      <c r="A657" s="266"/>
      <c r="B657" s="266"/>
      <c r="C657" s="266"/>
      <c r="D657" s="1886" t="s">
        <v>128</v>
      </c>
      <c r="E657" s="1886"/>
      <c r="F657" s="1886"/>
      <c r="G657" s="57"/>
      <c r="H657" s="268"/>
      <c r="I657" s="268"/>
      <c r="J657" s="268"/>
      <c r="K657" s="268"/>
    </row>
    <row r="658" spans="1:11">
      <c r="A658" s="259"/>
      <c r="B658" s="259"/>
      <c r="C658" s="259"/>
      <c r="D658" s="1887" t="s">
        <v>1211</v>
      </c>
      <c r="E658" s="1887"/>
      <c r="F658" s="1887"/>
      <c r="G658" s="57"/>
      <c r="H658" s="268"/>
      <c r="I658" s="268"/>
      <c r="J658" s="268"/>
      <c r="K658" s="268"/>
    </row>
    <row r="659" spans="1:11">
      <c r="A659" s="259"/>
      <c r="B659" s="259"/>
      <c r="C659" s="259"/>
      <c r="G659" s="57"/>
      <c r="H659" s="268"/>
      <c r="I659" s="268"/>
      <c r="J659" s="268"/>
      <c r="K659" s="268"/>
    </row>
    <row r="660" spans="1:11" ht="14.25">
      <c r="A660" s="260"/>
      <c r="B660" s="678" t="s">
        <v>315</v>
      </c>
      <c r="C660" s="259"/>
      <c r="D660" s="1887" t="s">
        <v>950</v>
      </c>
      <c r="E660" s="1887"/>
      <c r="F660" s="1887"/>
      <c r="G660" s="57"/>
      <c r="H660" s="268"/>
      <c r="I660" s="268"/>
      <c r="J660" s="268"/>
      <c r="K660" s="268"/>
    </row>
    <row r="661" spans="1:11">
      <c r="A661" s="259"/>
      <c r="B661" s="259"/>
      <c r="C661" s="259"/>
      <c r="D661" s="1887" t="s">
        <v>961</v>
      </c>
      <c r="E661" s="1887"/>
      <c r="F661" s="1887"/>
      <c r="G661" s="57"/>
      <c r="H661" s="268"/>
      <c r="I661" s="268"/>
      <c r="J661" s="268"/>
      <c r="K661" s="268"/>
    </row>
    <row r="662" spans="1:11">
      <c r="A662" s="259"/>
      <c r="B662" s="259"/>
      <c r="C662" s="259"/>
      <c r="D662" s="6"/>
      <c r="E662" s="1866" t="s">
        <v>1212</v>
      </c>
      <c r="F662" s="1866"/>
      <c r="G662" s="57"/>
      <c r="H662" s="268"/>
      <c r="I662" s="268"/>
      <c r="J662" s="268"/>
      <c r="K662" s="268"/>
    </row>
    <row r="663" spans="1:11">
      <c r="A663" s="259"/>
      <c r="B663" s="259"/>
      <c r="C663" s="259"/>
      <c r="D663" s="6"/>
      <c r="E663" s="1866"/>
      <c r="F663" s="1866"/>
      <c r="G663" s="57"/>
      <c r="H663" s="268"/>
      <c r="I663" s="268"/>
      <c r="J663" s="268"/>
      <c r="K663" s="268"/>
    </row>
    <row r="664" spans="1:11">
      <c r="A664" s="259"/>
      <c r="B664" s="259"/>
      <c r="C664" s="259"/>
      <c r="D664" s="269"/>
      <c r="E664" s="135"/>
      <c r="G664" s="57"/>
      <c r="H664" s="268"/>
      <c r="I664" s="268"/>
      <c r="J664" s="268"/>
      <c r="K664" s="268"/>
    </row>
    <row r="665" spans="1:11" ht="14.25">
      <c r="A665" s="260"/>
      <c r="B665" s="678" t="s">
        <v>315</v>
      </c>
      <c r="C665" s="259"/>
      <c r="D665" s="1862" t="s">
        <v>1213</v>
      </c>
      <c r="E665" s="1862"/>
      <c r="F665" s="1862"/>
      <c r="G665" s="57"/>
      <c r="H665" s="268"/>
      <c r="I665" s="268"/>
      <c r="J665" s="268"/>
      <c r="K665" s="268"/>
    </row>
    <row r="666" spans="1:11">
      <c r="A666" s="23"/>
      <c r="B666" s="674"/>
      <c r="C666" s="259"/>
      <c r="D666" s="1862"/>
      <c r="E666" s="1862"/>
      <c r="F666" s="1862"/>
      <c r="G666" s="57"/>
      <c r="H666" s="268"/>
      <c r="I666" s="268"/>
      <c r="J666" s="268"/>
      <c r="K666" s="268"/>
    </row>
    <row r="667" spans="1:11">
      <c r="A667" s="259"/>
      <c r="B667" s="259"/>
      <c r="C667" s="259"/>
      <c r="D667" s="1862"/>
      <c r="E667" s="1862"/>
      <c r="F667" s="1862"/>
      <c r="G667" s="57"/>
      <c r="H667" s="268"/>
      <c r="I667" s="268"/>
      <c r="J667" s="268"/>
      <c r="K667" s="268"/>
    </row>
    <row r="668" spans="1:11">
      <c r="A668" s="259"/>
      <c r="B668" s="259"/>
      <c r="C668" s="259"/>
      <c r="G668" s="57"/>
      <c r="H668" s="268"/>
      <c r="I668" s="268"/>
      <c r="J668" s="268"/>
      <c r="K668" s="268"/>
    </row>
    <row r="669" spans="1:11" ht="14.25">
      <c r="A669" s="260"/>
      <c r="B669" s="678" t="s">
        <v>315</v>
      </c>
      <c r="C669" s="259"/>
      <c r="D669" s="1887" t="s">
        <v>990</v>
      </c>
      <c r="E669" s="1887"/>
      <c r="F669" s="1887"/>
      <c r="G669" s="57"/>
      <c r="H669" s="268"/>
      <c r="I669" s="268"/>
      <c r="J669" s="268"/>
      <c r="K669" s="268"/>
    </row>
    <row r="670" spans="1:11" ht="14.25">
      <c r="A670" s="260"/>
      <c r="B670" s="260"/>
      <c r="C670" s="259"/>
      <c r="D670" s="1887" t="s">
        <v>961</v>
      </c>
      <c r="E670" s="1887"/>
      <c r="F670" s="1887"/>
      <c r="G670" s="57"/>
      <c r="H670" s="268"/>
      <c r="I670" s="268"/>
      <c r="J670" s="268"/>
      <c r="K670" s="268"/>
    </row>
    <row r="671" spans="1:11">
      <c r="A671" s="259"/>
      <c r="B671" s="259"/>
      <c r="C671" s="259"/>
      <c r="D671" s="6"/>
      <c r="E671" s="1892" t="s">
        <v>1214</v>
      </c>
      <c r="F671" s="1892"/>
      <c r="G671" s="57"/>
      <c r="H671" s="268"/>
      <c r="I671" s="268"/>
      <c r="J671" s="268"/>
      <c r="K671" s="268"/>
    </row>
    <row r="672" spans="1:11">
      <c r="A672" s="259"/>
      <c r="B672" s="259"/>
      <c r="C672" s="259"/>
      <c r="D672" s="50"/>
      <c r="G672" s="57"/>
      <c r="H672" s="268"/>
      <c r="I672" s="268"/>
      <c r="J672" s="268"/>
      <c r="K672" s="268"/>
    </row>
    <row r="673" spans="1:11" ht="14.25">
      <c r="A673" s="260"/>
      <c r="B673" s="678" t="s">
        <v>315</v>
      </c>
      <c r="C673" s="259"/>
      <c r="D673" s="1885" t="s">
        <v>1224</v>
      </c>
      <c r="E673" s="1885"/>
      <c r="F673" s="1885"/>
      <c r="G673" s="57"/>
      <c r="H673" s="268"/>
      <c r="I673" s="268"/>
      <c r="J673" s="268"/>
      <c r="K673" s="268"/>
    </row>
    <row r="674" spans="1:11">
      <c r="A674" s="259"/>
      <c r="B674" s="259"/>
      <c r="C674" s="259"/>
      <c r="D674" s="1885"/>
      <c r="E674" s="1885"/>
      <c r="F674" s="1885"/>
      <c r="G674" s="57"/>
      <c r="H674" s="268"/>
      <c r="I674" s="268"/>
      <c r="J674" s="268"/>
      <c r="K674" s="268"/>
    </row>
    <row r="675" spans="1:11">
      <c r="A675" s="259"/>
      <c r="B675" s="259"/>
      <c r="C675" s="259"/>
      <c r="D675" s="1885"/>
      <c r="E675" s="1885"/>
      <c r="F675" s="1885"/>
      <c r="G675" s="57"/>
      <c r="H675" s="268"/>
      <c r="I675" s="268"/>
      <c r="J675" s="268"/>
      <c r="K675" s="268"/>
    </row>
    <row r="676" spans="1:11">
      <c r="A676" s="259"/>
      <c r="B676" s="259"/>
      <c r="C676" s="259"/>
      <c r="D676" s="1885"/>
      <c r="E676" s="1885"/>
      <c r="F676" s="1885"/>
      <c r="G676" s="57"/>
      <c r="H676" s="268"/>
      <c r="I676" s="268"/>
      <c r="J676" s="268"/>
      <c r="K676" s="268"/>
    </row>
    <row r="677" spans="1:11">
      <c r="A677" s="259"/>
      <c r="B677" s="259"/>
      <c r="C677" s="259"/>
      <c r="D677" s="1885"/>
      <c r="E677" s="1885"/>
      <c r="F677" s="1885"/>
      <c r="G677" s="57"/>
      <c r="H677" s="268"/>
      <c r="I677" s="268"/>
      <c r="J677" s="268"/>
      <c r="K677" s="268"/>
    </row>
    <row r="678" spans="1:11" s="39" customFormat="1">
      <c r="A678" s="486"/>
      <c r="B678" s="486"/>
      <c r="C678" s="486"/>
      <c r="D678" s="1885"/>
      <c r="E678" s="1885"/>
      <c r="F678" s="1885"/>
      <c r="G678" s="60"/>
      <c r="H678" s="271"/>
      <c r="I678" s="271"/>
      <c r="J678" s="271"/>
      <c r="K678" s="271"/>
    </row>
    <row r="679" spans="1:11" s="39" customFormat="1">
      <c r="A679" s="486"/>
      <c r="B679" s="486"/>
      <c r="C679" s="486"/>
      <c r="D679" s="700"/>
      <c r="E679" s="700"/>
      <c r="F679" s="700"/>
      <c r="G679" s="60"/>
      <c r="H679" s="271"/>
      <c r="I679" s="271"/>
      <c r="J679" s="271"/>
      <c r="K679" s="271"/>
    </row>
    <row r="680" spans="1:11" ht="14.25">
      <c r="A680" s="260"/>
      <c r="B680" s="678" t="s">
        <v>315</v>
      </c>
      <c r="C680" s="259"/>
      <c r="D680" s="1885" t="s">
        <v>1215</v>
      </c>
      <c r="E680" s="1885"/>
      <c r="F680" s="1885"/>
      <c r="G680" s="57"/>
      <c r="H680" s="268"/>
      <c r="I680" s="268"/>
      <c r="J680" s="268"/>
      <c r="K680" s="268"/>
    </row>
    <row r="681" spans="1:11">
      <c r="A681" s="259"/>
      <c r="B681" s="259"/>
      <c r="C681" s="259"/>
      <c r="D681" s="1885"/>
      <c r="E681" s="1885"/>
      <c r="F681" s="1885"/>
      <c r="G681" s="57"/>
      <c r="H681" s="268"/>
      <c r="I681" s="268"/>
      <c r="J681" s="268"/>
      <c r="K681" s="268"/>
    </row>
    <row r="682" spans="1:11">
      <c r="A682" s="259"/>
      <c r="B682" s="259"/>
      <c r="C682" s="259"/>
      <c r="D682" s="1885"/>
      <c r="E682" s="1885"/>
      <c r="F682" s="1885"/>
      <c r="G682" s="57"/>
      <c r="H682" s="268"/>
      <c r="I682" s="268"/>
      <c r="J682" s="268"/>
      <c r="K682" s="268"/>
    </row>
    <row r="683" spans="1:11" ht="15" customHeight="1">
      <c r="A683" s="259"/>
      <c r="B683" s="259"/>
      <c r="C683" s="259"/>
      <c r="D683" s="1885"/>
      <c r="E683" s="1885"/>
      <c r="F683" s="1885"/>
      <c r="G683" s="57"/>
      <c r="H683" s="268"/>
      <c r="I683" s="268"/>
      <c r="J683" s="268"/>
      <c r="K683" s="268"/>
    </row>
    <row r="684" spans="1:11" ht="15" customHeight="1">
      <c r="A684" s="259"/>
      <c r="B684" s="259"/>
      <c r="C684" s="259"/>
      <c r="D684" s="1885"/>
      <c r="E684" s="1885"/>
      <c r="F684" s="1885"/>
      <c r="G684" s="57"/>
      <c r="H684" s="268"/>
      <c r="I684" s="268"/>
      <c r="J684" s="268"/>
      <c r="K684" s="268"/>
    </row>
    <row r="685" spans="1:11">
      <c r="A685" s="259"/>
      <c r="B685" s="259"/>
      <c r="C685" s="259"/>
      <c r="D685" s="1885"/>
      <c r="E685" s="1885"/>
      <c r="F685" s="1885"/>
      <c r="G685" s="57"/>
      <c r="H685" s="268"/>
      <c r="I685" s="268"/>
      <c r="J685" s="268"/>
      <c r="K685" s="268"/>
    </row>
    <row r="686" spans="1:11">
      <c r="A686" s="259"/>
      <c r="B686" s="259"/>
      <c r="C686" s="259"/>
      <c r="D686" s="1885"/>
      <c r="E686" s="1885"/>
      <c r="F686" s="1885"/>
      <c r="G686" s="57"/>
      <c r="H686" s="268"/>
      <c r="I686" s="268"/>
      <c r="J686" s="268"/>
      <c r="K686" s="268"/>
    </row>
    <row r="687" spans="1:11">
      <c r="A687" s="259"/>
      <c r="B687" s="259"/>
      <c r="C687" s="259"/>
      <c r="D687" s="1885"/>
      <c r="E687" s="1885"/>
      <c r="F687" s="1885"/>
      <c r="G687" s="57"/>
      <c r="H687" s="268"/>
      <c r="I687" s="268"/>
      <c r="J687" s="268"/>
      <c r="K687" s="268"/>
    </row>
    <row r="688" spans="1:11" ht="15" customHeight="1">
      <c r="A688" s="259"/>
      <c r="B688" s="259"/>
      <c r="C688" s="259"/>
      <c r="D688" s="1885"/>
      <c r="E688" s="1885"/>
      <c r="F688" s="1885"/>
      <c r="G688" s="57"/>
      <c r="H688" s="268"/>
      <c r="I688" s="268"/>
      <c r="J688" s="268"/>
      <c r="K688" s="268"/>
    </row>
    <row r="689" spans="1:11">
      <c r="A689" s="259"/>
      <c r="B689" s="259"/>
      <c r="C689" s="259"/>
      <c r="D689" s="1885"/>
      <c r="E689" s="1885"/>
      <c r="F689" s="1885"/>
      <c r="G689" s="57"/>
      <c r="H689" s="268"/>
      <c r="I689" s="268"/>
      <c r="J689" s="268"/>
      <c r="K689" s="268"/>
    </row>
    <row r="690" spans="1:11">
      <c r="A690" s="259"/>
      <c r="B690" s="259"/>
      <c r="C690" s="259"/>
      <c r="D690" s="1885"/>
      <c r="E690" s="1885"/>
      <c r="F690" s="1885"/>
      <c r="G690" s="57"/>
      <c r="H690" s="268"/>
      <c r="I690" s="268"/>
      <c r="J690" s="268"/>
      <c r="K690" s="268"/>
    </row>
    <row r="691" spans="1:11">
      <c r="A691" s="259"/>
      <c r="B691" s="259"/>
      <c r="C691" s="259"/>
      <c r="D691" s="1885"/>
      <c r="E691" s="1885"/>
      <c r="F691" s="1885"/>
      <c r="G691" s="57"/>
      <c r="H691" s="268"/>
      <c r="I691" s="268"/>
      <c r="J691" s="268"/>
      <c r="K691" s="268"/>
    </row>
    <row r="692" spans="1:11" s="681" customFormat="1">
      <c r="A692" s="259"/>
      <c r="B692" s="259"/>
      <c r="C692" s="259"/>
      <c r="D692" s="700"/>
      <c r="E692" s="700"/>
      <c r="F692" s="700"/>
      <c r="G692" s="57"/>
      <c r="H692" s="268"/>
      <c r="I692" s="268"/>
      <c r="J692" s="268"/>
      <c r="K692" s="268"/>
    </row>
    <row r="693" spans="1:11" ht="14.25">
      <c r="A693" s="260"/>
      <c r="B693" s="678" t="s">
        <v>315</v>
      </c>
      <c r="C693" s="259"/>
      <c r="D693" s="1885" t="s">
        <v>1225</v>
      </c>
      <c r="E693" s="1885"/>
      <c r="F693" s="1885"/>
      <c r="G693" s="57"/>
      <c r="H693" s="268"/>
      <c r="I693" s="268"/>
      <c r="J693" s="268"/>
      <c r="K693" s="268"/>
    </row>
    <row r="694" spans="1:11">
      <c r="A694" s="259"/>
      <c r="B694" s="259"/>
      <c r="C694" s="259"/>
      <c r="D694" s="1885"/>
      <c r="E694" s="1885"/>
      <c r="F694" s="1885"/>
      <c r="G694" s="57"/>
      <c r="H694" s="268"/>
      <c r="I694" s="268"/>
      <c r="J694" s="268"/>
      <c r="K694" s="268"/>
    </row>
    <row r="695" spans="1:11">
      <c r="A695" s="259"/>
      <c r="B695" s="259"/>
      <c r="C695" s="259"/>
      <c r="D695" s="1885"/>
      <c r="E695" s="1885"/>
      <c r="F695" s="1885"/>
      <c r="G695" s="57"/>
      <c r="H695" s="268"/>
      <c r="I695" s="268"/>
      <c r="J695" s="268"/>
      <c r="K695" s="268"/>
    </row>
    <row r="696" spans="1:11" s="681" customFormat="1">
      <c r="A696" s="259"/>
      <c r="B696" s="259"/>
      <c r="C696" s="259"/>
      <c r="D696" s="700"/>
      <c r="E696" s="700"/>
      <c r="F696" s="700"/>
      <c r="G696" s="57"/>
      <c r="H696" s="268"/>
      <c r="I696" s="268"/>
      <c r="J696" s="268"/>
      <c r="K696" s="268"/>
    </row>
    <row r="697" spans="1:11" s="681" customFormat="1">
      <c r="A697" s="259"/>
      <c r="B697" s="678" t="s">
        <v>315</v>
      </c>
      <c r="C697" s="259"/>
      <c r="D697" s="1885" t="s">
        <v>1222</v>
      </c>
      <c r="E697" s="1885"/>
      <c r="F697" s="1885"/>
      <c r="G697" s="57"/>
      <c r="H697" s="268"/>
      <c r="I697" s="268"/>
      <c r="J697" s="268"/>
      <c r="K697" s="268"/>
    </row>
    <row r="698" spans="1:11" s="681" customFormat="1">
      <c r="A698" s="259"/>
      <c r="B698" s="259"/>
      <c r="C698" s="259"/>
      <c r="D698" s="1885"/>
      <c r="E698" s="1885"/>
      <c r="F698" s="1885"/>
      <c r="G698" s="57"/>
      <c r="H698" s="268"/>
      <c r="I698" s="268"/>
      <c r="J698" s="268"/>
      <c r="K698" s="268"/>
    </row>
    <row r="699" spans="1:11" s="681" customFormat="1">
      <c r="A699" s="259"/>
      <c r="B699" s="259"/>
      <c r="C699" s="259"/>
      <c r="D699" s="700"/>
      <c r="E699" s="700"/>
      <c r="F699" s="700"/>
      <c r="G699" s="57"/>
      <c r="H699" s="268"/>
      <c r="I699" s="268"/>
      <c r="J699" s="268"/>
      <c r="K699" s="268"/>
    </row>
    <row r="700" spans="1:11" s="681" customFormat="1">
      <c r="A700" s="259"/>
      <c r="B700" s="678" t="s">
        <v>315</v>
      </c>
      <c r="C700" s="259"/>
      <c r="D700" s="1885" t="s">
        <v>1223</v>
      </c>
      <c r="E700" s="1885"/>
      <c r="F700" s="1885"/>
      <c r="G700" s="57"/>
      <c r="H700" s="268"/>
      <c r="I700" s="268"/>
      <c r="J700" s="268"/>
      <c r="K700" s="268"/>
    </row>
    <row r="701" spans="1:11" s="681" customFormat="1">
      <c r="A701" s="259"/>
      <c r="B701" s="259"/>
      <c r="C701" s="259"/>
      <c r="D701" s="1885"/>
      <c r="E701" s="1885"/>
      <c r="F701" s="1885"/>
      <c r="G701" s="57"/>
      <c r="H701" s="268"/>
      <c r="I701" s="268"/>
      <c r="J701" s="268"/>
      <c r="K701" s="268"/>
    </row>
    <row r="702" spans="1:11" s="681" customFormat="1">
      <c r="A702" s="259"/>
      <c r="B702" s="259"/>
      <c r="C702" s="259"/>
      <c r="D702" s="1885"/>
      <c r="E702" s="1885"/>
      <c r="F702" s="1885"/>
      <c r="G702" s="57"/>
      <c r="H702" s="268"/>
      <c r="I702" s="268"/>
      <c r="J702" s="268"/>
      <c r="K702" s="268"/>
    </row>
    <row r="703" spans="1:11" s="681" customFormat="1">
      <c r="A703" s="259"/>
      <c r="B703" s="259"/>
      <c r="C703" s="259"/>
      <c r="D703" s="700"/>
      <c r="E703" s="700"/>
      <c r="F703" s="700"/>
      <c r="G703" s="57"/>
      <c r="H703" s="268"/>
      <c r="I703" s="268"/>
      <c r="J703" s="268"/>
      <c r="K703" s="268"/>
    </row>
    <row r="704" spans="1:11">
      <c r="A704" s="259"/>
      <c r="B704" s="678" t="s">
        <v>315</v>
      </c>
      <c r="C704" s="259"/>
      <c r="D704" s="1885" t="s">
        <v>1216</v>
      </c>
      <c r="E704" s="1885"/>
      <c r="F704" s="1885"/>
      <c r="G704" s="57"/>
      <c r="H704" s="268"/>
      <c r="I704" s="268"/>
      <c r="J704" s="268"/>
      <c r="K704" s="268"/>
    </row>
    <row r="705" spans="1:11">
      <c r="A705" s="259"/>
      <c r="B705" s="259"/>
      <c r="C705" s="259"/>
      <c r="D705" s="1885"/>
      <c r="E705" s="1885"/>
      <c r="F705" s="1885"/>
      <c r="G705" s="57"/>
      <c r="H705" s="268"/>
      <c r="I705" s="268"/>
      <c r="J705" s="268"/>
      <c r="K705" s="268"/>
    </row>
    <row r="706" spans="1:11">
      <c r="A706" s="259"/>
      <c r="B706" s="259"/>
      <c r="C706" s="259"/>
      <c r="D706" s="1885"/>
      <c r="E706" s="1885"/>
      <c r="F706" s="1885"/>
      <c r="G706" s="57"/>
      <c r="H706" s="268"/>
      <c r="I706" s="268"/>
      <c r="J706" s="268"/>
      <c r="K706" s="268"/>
    </row>
    <row r="707" spans="1:11">
      <c r="A707" s="259"/>
      <c r="B707" s="259"/>
      <c r="C707" s="259"/>
      <c r="D707" s="130"/>
      <c r="G707" s="57"/>
      <c r="H707" s="268"/>
      <c r="I707" s="268"/>
      <c r="J707" s="268"/>
      <c r="K707" s="268"/>
    </row>
    <row r="708" spans="1:11">
      <c r="A708" s="259"/>
      <c r="B708" s="678" t="s">
        <v>315</v>
      </c>
      <c r="C708" s="259"/>
      <c r="D708" s="1885" t="s">
        <v>1217</v>
      </c>
      <c r="E708" s="1885"/>
      <c r="F708" s="1885"/>
      <c r="G708" s="57"/>
      <c r="H708" s="268"/>
      <c r="I708" s="268"/>
      <c r="J708" s="268"/>
      <c r="K708" s="268"/>
    </row>
    <row r="709" spans="1:11">
      <c r="A709" s="259"/>
      <c r="B709" s="259"/>
      <c r="C709" s="259"/>
      <c r="D709" s="1885"/>
      <c r="E709" s="1885"/>
      <c r="F709" s="1885"/>
      <c r="G709" s="57"/>
      <c r="H709" s="268"/>
      <c r="I709" s="268"/>
      <c r="J709" s="268"/>
      <c r="K709" s="268"/>
    </row>
    <row r="710" spans="1:11">
      <c r="A710" s="259"/>
      <c r="B710" s="259"/>
      <c r="C710" s="259"/>
      <c r="D710" s="1885"/>
      <c r="E710" s="1885"/>
      <c r="F710" s="1885"/>
      <c r="G710" s="57"/>
      <c r="H710" s="268"/>
      <c r="I710" s="268"/>
      <c r="J710" s="268"/>
      <c r="K710" s="268"/>
    </row>
    <row r="711" spans="1:11">
      <c r="A711" s="259"/>
      <c r="B711" s="259"/>
      <c r="C711" s="259"/>
      <c r="D711" s="12"/>
      <c r="G711" s="57"/>
      <c r="H711" s="268"/>
      <c r="I711" s="268"/>
      <c r="J711" s="268"/>
      <c r="K711" s="268"/>
    </row>
    <row r="712" spans="1:11" ht="14.25">
      <c r="A712" s="260"/>
      <c r="B712" s="678" t="s">
        <v>315</v>
      </c>
      <c r="C712" s="259"/>
      <c r="D712" s="1862" t="s">
        <v>1218</v>
      </c>
      <c r="E712" s="1862"/>
      <c r="F712" s="1862"/>
      <c r="G712" s="57"/>
      <c r="H712" s="268"/>
      <c r="I712" s="268"/>
      <c r="J712" s="268"/>
      <c r="K712" s="268"/>
    </row>
    <row r="713" spans="1:11">
      <c r="A713" s="259"/>
      <c r="B713" s="259"/>
      <c r="C713" s="259"/>
      <c r="D713" s="1862"/>
      <c r="E713" s="1862"/>
      <c r="F713" s="1862"/>
      <c r="G713" s="57"/>
      <c r="H713" s="268"/>
      <c r="I713" s="268"/>
      <c r="J713" s="268"/>
      <c r="K713" s="268"/>
    </row>
    <row r="714" spans="1:11">
      <c r="A714" s="259"/>
      <c r="B714" s="259"/>
      <c r="C714" s="259"/>
      <c r="D714" s="1862"/>
      <c r="E714" s="1862"/>
      <c r="F714" s="1862"/>
      <c r="G714" s="57"/>
      <c r="H714" s="268"/>
      <c r="I714" s="268"/>
      <c r="J714" s="268"/>
      <c r="K714" s="268"/>
    </row>
    <row r="715" spans="1:11">
      <c r="A715" s="259"/>
      <c r="B715" s="259"/>
      <c r="C715" s="259"/>
      <c r="D715" s="1862"/>
      <c r="E715" s="1862"/>
      <c r="F715" s="1862"/>
      <c r="G715" s="57"/>
      <c r="H715" s="268"/>
      <c r="I715" s="268"/>
      <c r="J715" s="268"/>
      <c r="K715" s="268"/>
    </row>
    <row r="716" spans="1:11">
      <c r="A716" s="259"/>
      <c r="B716" s="259"/>
      <c r="C716" s="259"/>
      <c r="D716" s="262"/>
      <c r="G716" s="57"/>
      <c r="H716" s="268"/>
      <c r="I716" s="268"/>
      <c r="J716" s="268"/>
      <c r="K716" s="268"/>
    </row>
    <row r="717" spans="1:11" ht="14.25">
      <c r="A717" s="260"/>
      <c r="B717" s="678" t="s">
        <v>315</v>
      </c>
      <c r="C717" s="259"/>
      <c r="D717" s="1885" t="s">
        <v>1351</v>
      </c>
      <c r="E717" s="1885"/>
      <c r="F717" s="1885"/>
      <c r="G717" s="57"/>
      <c r="H717" s="268"/>
      <c r="I717" s="268"/>
      <c r="J717" s="268"/>
      <c r="K717" s="268"/>
    </row>
    <row r="718" spans="1:11">
      <c r="A718" s="259"/>
      <c r="B718" s="259"/>
      <c r="C718" s="259"/>
      <c r="D718" s="1885"/>
      <c r="E718" s="1885"/>
      <c r="F718" s="1885"/>
      <c r="G718" s="57"/>
      <c r="H718" s="268"/>
      <c r="I718" s="268"/>
      <c r="J718" s="268"/>
      <c r="K718" s="268"/>
    </row>
    <row r="719" spans="1:11">
      <c r="A719" s="259"/>
      <c r="B719" s="259"/>
      <c r="C719" s="259"/>
      <c r="D719" s="1885"/>
      <c r="E719" s="1885"/>
      <c r="F719" s="1885"/>
      <c r="G719" s="57"/>
      <c r="H719" s="268"/>
      <c r="I719" s="268"/>
      <c r="J719" s="268"/>
      <c r="K719" s="268"/>
    </row>
    <row r="720" spans="1:11">
      <c r="A720" s="259"/>
      <c r="B720" s="259"/>
      <c r="C720" s="259"/>
      <c r="D720" s="1885"/>
      <c r="E720" s="1885"/>
      <c r="F720" s="1885"/>
      <c r="G720" s="57"/>
      <c r="H720" s="268"/>
      <c r="I720" s="268"/>
      <c r="J720" s="268"/>
      <c r="K720" s="268"/>
    </row>
    <row r="721" spans="1:11">
      <c r="A721" s="259"/>
      <c r="B721" s="259"/>
      <c r="C721" s="259"/>
      <c r="D721" s="1885"/>
      <c r="E721" s="1885"/>
      <c r="F721" s="1885"/>
      <c r="G721" s="57"/>
      <c r="H721" s="268"/>
      <c r="I721" s="268"/>
      <c r="J721" s="268"/>
      <c r="K721" s="268"/>
    </row>
    <row r="722" spans="1:11">
      <c r="A722" s="259"/>
      <c r="B722" s="259"/>
      <c r="C722" s="259"/>
      <c r="D722" s="1885"/>
      <c r="E722" s="1885"/>
      <c r="F722" s="1885"/>
      <c r="G722" s="57"/>
      <c r="H722" s="268"/>
      <c r="I722" s="268"/>
      <c r="J722" s="268"/>
      <c r="K722" s="268"/>
    </row>
    <row r="723" spans="1:11">
      <c r="A723" s="259"/>
      <c r="B723" s="259"/>
      <c r="C723" s="259"/>
      <c r="D723" s="1885"/>
      <c r="E723" s="1885"/>
      <c r="F723" s="1885"/>
      <c r="G723" s="57"/>
      <c r="H723" s="268"/>
      <c r="I723" s="268"/>
      <c r="J723" s="268"/>
      <c r="K723" s="268"/>
    </row>
    <row r="724" spans="1:11">
      <c r="A724" s="259"/>
      <c r="B724" s="259"/>
      <c r="C724" s="259"/>
      <c r="D724" s="1896" t="s">
        <v>1219</v>
      </c>
      <c r="E724" s="1896"/>
      <c r="F724" s="1896"/>
      <c r="G724" s="57"/>
      <c r="H724" s="268"/>
      <c r="I724" s="268"/>
      <c r="J724" s="268"/>
      <c r="K724" s="268"/>
    </row>
    <row r="725" spans="1:11" s="681" customFormat="1">
      <c r="A725" s="259"/>
      <c r="B725" s="259"/>
      <c r="C725" s="259"/>
      <c r="D725" s="532"/>
      <c r="E725" s="7"/>
      <c r="F725" s="7"/>
      <c r="G725" s="57"/>
      <c r="H725" s="268"/>
      <c r="I725" s="268"/>
      <c r="J725" s="268"/>
      <c r="K725" s="268"/>
    </row>
    <row r="726" spans="1:11">
      <c r="A726" s="1889" t="s">
        <v>1176</v>
      </c>
      <c r="B726" s="1889"/>
      <c r="C726" s="1889"/>
      <c r="D726" s="1889"/>
      <c r="E726" s="1889"/>
      <c r="F726" s="1889"/>
      <c r="G726" s="1889"/>
      <c r="H726" s="268"/>
      <c r="I726" s="268"/>
      <c r="J726" s="268"/>
      <c r="K726" s="268"/>
    </row>
    <row r="727" spans="1:11">
      <c r="A727" s="259"/>
      <c r="B727" s="259"/>
      <c r="C727" s="259"/>
      <c r="D727" s="262"/>
      <c r="G727" s="270"/>
      <c r="H727" s="268"/>
      <c r="I727" s="268"/>
      <c r="J727" s="268"/>
      <c r="K727" s="268"/>
    </row>
    <row r="728" spans="1:11" ht="13.35" customHeight="1">
      <c r="C728" s="259"/>
      <c r="D728" s="1904" t="s">
        <v>1192</v>
      </c>
      <c r="E728" s="1904"/>
      <c r="F728" s="1904"/>
      <c r="G728" s="270"/>
      <c r="H728" s="268"/>
      <c r="I728" s="268"/>
      <c r="J728" s="268"/>
      <c r="K728" s="268"/>
    </row>
    <row r="729" spans="1:11">
      <c r="A729" s="259"/>
      <c r="B729" s="259"/>
      <c r="C729" s="259"/>
      <c r="D729" s="1891" t="s">
        <v>1193</v>
      </c>
      <c r="E729" s="1891"/>
      <c r="F729" s="1891"/>
      <c r="G729" s="270"/>
      <c r="H729" s="268"/>
      <c r="I729" s="268"/>
      <c r="J729" s="268"/>
      <c r="K729" s="268"/>
    </row>
    <row r="730" spans="1:11">
      <c r="A730" s="259"/>
      <c r="B730" s="259"/>
      <c r="C730" s="259"/>
      <c r="G730" s="270"/>
      <c r="H730" s="268"/>
      <c r="I730" s="268"/>
      <c r="J730" s="268"/>
      <c r="K730" s="268"/>
    </row>
    <row r="731" spans="1:11" s="39" customFormat="1" ht="14.25">
      <c r="A731" s="260"/>
      <c r="B731" s="678" t="s">
        <v>315</v>
      </c>
      <c r="C731" s="132"/>
      <c r="D731" s="1862" t="s">
        <v>1194</v>
      </c>
      <c r="E731" s="1862"/>
      <c r="F731" s="1862"/>
      <c r="G731" s="270"/>
      <c r="H731" s="271"/>
      <c r="I731" s="271"/>
      <c r="J731" s="271"/>
      <c r="K731" s="271"/>
    </row>
    <row r="732" spans="1:11" s="39" customFormat="1" ht="10.5" customHeight="1">
      <c r="A732" s="132"/>
      <c r="B732" s="675"/>
      <c r="C732" s="132"/>
      <c r="D732" s="1862"/>
      <c r="E732" s="1862"/>
      <c r="F732" s="1862"/>
      <c r="G732" s="270"/>
      <c r="H732" s="271"/>
      <c r="I732" s="271"/>
      <c r="J732" s="271"/>
      <c r="K732" s="271"/>
    </row>
    <row r="733" spans="1:11" s="39" customFormat="1">
      <c r="A733" s="132"/>
      <c r="B733" s="675"/>
      <c r="C733" s="132"/>
      <c r="D733" s="1862"/>
      <c r="E733" s="1862"/>
      <c r="F733" s="1862"/>
      <c r="G733" s="270"/>
      <c r="H733" s="271"/>
      <c r="I733" s="271"/>
      <c r="J733" s="271"/>
      <c r="K733" s="271"/>
    </row>
    <row r="734" spans="1:11">
      <c r="D734" s="1862"/>
      <c r="E734" s="1862"/>
      <c r="F734" s="1862"/>
      <c r="G734" s="270"/>
      <c r="H734" s="268"/>
      <c r="I734" s="268"/>
      <c r="J734" s="268"/>
      <c r="K734" s="268"/>
    </row>
    <row r="735" spans="1:11">
      <c r="A735" s="272"/>
      <c r="B735" s="272"/>
      <c r="C735" s="272"/>
      <c r="D735" s="1862"/>
      <c r="E735" s="1862"/>
      <c r="F735" s="1862"/>
      <c r="G735" s="274"/>
      <c r="H735" s="268"/>
      <c r="I735" s="268"/>
      <c r="J735" s="268"/>
      <c r="K735" s="268"/>
    </row>
    <row r="736" spans="1:11" ht="15.6" customHeight="1">
      <c r="A736" s="272"/>
      <c r="B736" s="272"/>
      <c r="C736" s="272"/>
      <c r="D736" s="1862"/>
      <c r="E736" s="1862"/>
      <c r="F736" s="1862"/>
      <c r="G736" s="274"/>
      <c r="H736" s="268"/>
      <c r="I736" s="268"/>
      <c r="J736" s="268"/>
      <c r="K736" s="268"/>
    </row>
    <row r="737" spans="1:11">
      <c r="A737" s="272"/>
      <c r="B737" s="272"/>
      <c r="C737" s="272"/>
      <c r="D737" s="376"/>
      <c r="E737" s="273"/>
      <c r="F737" s="273"/>
      <c r="G737" s="274"/>
      <c r="H737" s="268"/>
      <c r="I737" s="268"/>
      <c r="J737" s="268"/>
      <c r="K737" s="268"/>
    </row>
    <row r="738" spans="1:11" s="408" customFormat="1" ht="14.25">
      <c r="A738" s="406"/>
      <c r="B738" s="678" t="s">
        <v>315</v>
      </c>
      <c r="C738" s="407"/>
      <c r="D738" s="1864" t="s">
        <v>1195</v>
      </c>
      <c r="E738" s="1864"/>
      <c r="F738" s="1864"/>
      <c r="G738" s="310"/>
    </row>
    <row r="739" spans="1:11" s="408" customFormat="1">
      <c r="A739" s="407"/>
      <c r="B739" s="407"/>
      <c r="C739" s="407"/>
      <c r="D739" s="1864"/>
      <c r="E739" s="1864"/>
      <c r="F739" s="1864"/>
      <c r="G739" s="310"/>
    </row>
    <row r="740" spans="1:11" s="408" customFormat="1">
      <c r="A740" s="407"/>
      <c r="B740" s="407"/>
      <c r="C740" s="407"/>
      <c r="D740" s="1864"/>
      <c r="E740" s="1864"/>
      <c r="F740" s="1864"/>
      <c r="G740" s="310"/>
    </row>
    <row r="741" spans="1:11" s="408" customFormat="1">
      <c r="A741" s="407"/>
      <c r="B741" s="407"/>
      <c r="C741" s="407"/>
      <c r="D741" s="1864"/>
      <c r="E741" s="1864"/>
      <c r="F741" s="1864"/>
      <c r="G741" s="310"/>
    </row>
    <row r="742" spans="1:11" s="408" customFormat="1">
      <c r="A742" s="407"/>
      <c r="B742" s="407"/>
      <c r="C742" s="407"/>
      <c r="D742" s="376"/>
      <c r="E742" s="310"/>
      <c r="F742" s="310"/>
      <c r="G742" s="310"/>
    </row>
    <row r="743" spans="1:11" s="408" customFormat="1" ht="14.25">
      <c r="A743" s="260"/>
      <c r="B743" s="678" t="s">
        <v>315</v>
      </c>
      <c r="C743" s="407"/>
      <c r="D743" s="1905" t="s">
        <v>1196</v>
      </c>
      <c r="E743" s="1905"/>
      <c r="F743" s="1905"/>
      <c r="G743" s="310"/>
    </row>
    <row r="744" spans="1:11" s="408" customFormat="1">
      <c r="A744" s="407"/>
      <c r="B744" s="407"/>
      <c r="C744" s="407"/>
      <c r="D744" s="1905"/>
      <c r="E744" s="1905"/>
      <c r="F744" s="1905"/>
      <c r="G744" s="310"/>
    </row>
    <row r="745" spans="1:11" s="408" customFormat="1">
      <c r="A745" s="407"/>
      <c r="B745" s="407"/>
      <c r="C745" s="407"/>
      <c r="D745" s="1905"/>
      <c r="E745" s="1905"/>
      <c r="F745" s="1905"/>
      <c r="G745" s="310"/>
    </row>
    <row r="746" spans="1:11">
      <c r="A746" s="272"/>
      <c r="B746" s="272"/>
      <c r="C746" s="272"/>
      <c r="D746" s="376"/>
      <c r="E746" s="273"/>
      <c r="F746" s="273"/>
      <c r="G746" s="274"/>
      <c r="H746" s="268"/>
      <c r="I746" s="268"/>
      <c r="J746" s="268"/>
      <c r="K746" s="268"/>
    </row>
    <row r="747" spans="1:11" ht="14.25">
      <c r="A747" s="260"/>
      <c r="B747" s="678" t="s">
        <v>315</v>
      </c>
      <c r="C747" s="272"/>
      <c r="D747" s="1864" t="s">
        <v>1197</v>
      </c>
      <c r="E747" s="1864"/>
      <c r="F747" s="1864"/>
      <c r="G747" s="274"/>
      <c r="H747" s="268"/>
      <c r="I747" s="268"/>
      <c r="J747" s="268"/>
      <c r="K747" s="268"/>
    </row>
    <row r="748" spans="1:11">
      <c r="A748" s="272"/>
      <c r="B748" s="272"/>
      <c r="C748" s="272"/>
      <c r="D748" s="1864"/>
      <c r="E748" s="1864"/>
      <c r="F748" s="1864"/>
      <c r="G748" s="274"/>
      <c r="H748" s="268"/>
      <c r="I748" s="268"/>
      <c r="J748" s="268"/>
      <c r="K748" s="268"/>
    </row>
    <row r="749" spans="1:11" s="681" customFormat="1">
      <c r="A749" s="272"/>
      <c r="B749" s="272"/>
      <c r="C749" s="272"/>
      <c r="D749" s="694"/>
      <c r="E749" s="694"/>
      <c r="F749" s="694"/>
      <c r="G749" s="274"/>
      <c r="H749" s="268"/>
      <c r="I749" s="268"/>
      <c r="J749" s="268"/>
      <c r="K749" s="268"/>
    </row>
    <row r="750" spans="1:11" s="681" customFormat="1">
      <c r="A750" s="272"/>
      <c r="B750" s="678" t="s">
        <v>315</v>
      </c>
      <c r="C750" s="272"/>
      <c r="D750" s="1864" t="s">
        <v>1198</v>
      </c>
      <c r="E750" s="1864"/>
      <c r="F750" s="1864"/>
      <c r="G750" s="274"/>
      <c r="H750" s="268"/>
      <c r="I750" s="268"/>
      <c r="J750" s="268"/>
      <c r="K750" s="268"/>
    </row>
    <row r="751" spans="1:11" s="681" customFormat="1">
      <c r="A751" s="272"/>
      <c r="B751" s="272"/>
      <c r="C751" s="272"/>
      <c r="D751" s="1864"/>
      <c r="E751" s="1864"/>
      <c r="F751" s="1864"/>
      <c r="G751" s="274"/>
      <c r="H751" s="268"/>
      <c r="I751" s="268"/>
      <c r="J751" s="268"/>
      <c r="K751" s="268"/>
    </row>
    <row r="752" spans="1:11" s="681" customFormat="1">
      <c r="A752" s="272"/>
      <c r="B752" s="272"/>
      <c r="C752" s="272"/>
      <c r="D752" s="1864"/>
      <c r="E752" s="1864"/>
      <c r="F752" s="1864"/>
      <c r="G752" s="274"/>
      <c r="H752" s="268"/>
      <c r="I752" s="268"/>
      <c r="J752" s="268"/>
      <c r="K752" s="268"/>
    </row>
    <row r="753" spans="1:11" s="681" customFormat="1">
      <c r="A753" s="272"/>
      <c r="B753" s="272"/>
      <c r="C753" s="272"/>
      <c r="D753" s="694"/>
      <c r="E753" s="694"/>
      <c r="F753" s="694"/>
      <c r="G753" s="274"/>
      <c r="H753" s="268"/>
      <c r="I753" s="268"/>
      <c r="J753" s="268"/>
      <c r="K753" s="268"/>
    </row>
    <row r="754" spans="1:11">
      <c r="A754" s="1899" t="s">
        <v>1199</v>
      </c>
      <c r="B754" s="1899"/>
      <c r="C754" s="1899"/>
      <c r="D754" s="1899"/>
      <c r="E754" s="1899"/>
      <c r="F754" s="1899"/>
      <c r="G754" s="1899"/>
    </row>
    <row r="755" spans="1:11">
      <c r="A755" s="259"/>
      <c r="B755" s="259"/>
      <c r="C755" s="259"/>
      <c r="D755" s="275"/>
      <c r="F755" s="147"/>
      <c r="G755" s="270"/>
    </row>
    <row r="756" spans="1:11">
      <c r="A756" s="272"/>
      <c r="B756" s="272"/>
      <c r="C756" s="441"/>
      <c r="D756" s="1900" t="s">
        <v>1183</v>
      </c>
      <c r="E756" s="1900"/>
      <c r="F756" s="1900"/>
      <c r="G756" s="270"/>
    </row>
    <row r="757" spans="1:11">
      <c r="A757" s="502"/>
      <c r="B757" s="502"/>
      <c r="C757" s="501"/>
      <c r="D757" s="1901" t="s">
        <v>1200</v>
      </c>
      <c r="E757" s="1901"/>
      <c r="F757" s="1901"/>
      <c r="G757" s="270"/>
    </row>
    <row r="758" spans="1:11">
      <c r="A758" s="272"/>
      <c r="B758" s="272"/>
      <c r="C758" s="441"/>
      <c r="D758" s="692"/>
      <c r="E758" s="692"/>
      <c r="F758" s="692"/>
      <c r="G758" s="270"/>
    </row>
    <row r="759" spans="1:11" ht="14.25">
      <c r="A759" s="260"/>
      <c r="B759" s="678" t="s">
        <v>315</v>
      </c>
      <c r="C759" s="441"/>
      <c r="D759" s="1902" t="s">
        <v>1068</v>
      </c>
      <c r="E759" s="1902"/>
      <c r="F759" s="1902"/>
      <c r="G759" s="270"/>
    </row>
    <row r="760" spans="1:11">
      <c r="A760" s="272"/>
      <c r="B760" s="272"/>
      <c r="C760" s="441"/>
      <c r="D760" s="691"/>
      <c r="E760" s="1903" t="s">
        <v>1184</v>
      </c>
      <c r="F760" s="1903"/>
      <c r="G760" s="270"/>
    </row>
    <row r="761" spans="1:11">
      <c r="A761" s="266"/>
      <c r="B761" s="266"/>
      <c r="C761" s="266"/>
      <c r="D761" s="135"/>
      <c r="F761" s="57"/>
      <c r="G761" s="270"/>
    </row>
    <row r="762" spans="1:11">
      <c r="A762" s="1897" t="s">
        <v>470</v>
      </c>
      <c r="B762" s="1897"/>
      <c r="C762" s="1897"/>
      <c r="D762" s="1897"/>
      <c r="E762" s="1897"/>
      <c r="F762" s="1897"/>
      <c r="G762" s="1897"/>
    </row>
    <row r="763" spans="1:11">
      <c r="A763" s="254"/>
      <c r="B763" s="672"/>
      <c r="C763" s="265"/>
      <c r="D763" s="270"/>
      <c r="E763" s="270"/>
      <c r="F763" s="270"/>
      <c r="G763" s="270"/>
    </row>
    <row r="764" spans="1:11">
      <c r="A764" s="135"/>
      <c r="B764" s="1898" t="s">
        <v>1067</v>
      </c>
      <c r="C764" s="1898"/>
      <c r="D764" s="1898"/>
      <c r="E764" s="1898"/>
      <c r="F764" s="1898"/>
      <c r="G764" s="270"/>
    </row>
    <row r="765" spans="1:11">
      <c r="A765" s="23"/>
      <c r="B765" s="674"/>
      <c r="G765" s="270"/>
    </row>
    <row r="766" spans="1:11">
      <c r="A766" s="1897" t="s">
        <v>471</v>
      </c>
      <c r="B766" s="1897"/>
      <c r="C766" s="1897"/>
      <c r="D766" s="1897"/>
      <c r="E766" s="1897"/>
      <c r="F766" s="1897"/>
      <c r="G766" s="1897"/>
    </row>
    <row r="767" spans="1:11">
      <c r="A767" s="254"/>
      <c r="B767" s="672"/>
      <c r="C767" s="254"/>
      <c r="D767" s="262"/>
      <c r="G767" s="270"/>
    </row>
    <row r="768" spans="1:11">
      <c r="A768" s="135"/>
      <c r="B768" s="1894" t="s">
        <v>469</v>
      </c>
      <c r="C768" s="1894"/>
      <c r="D768" s="1894"/>
      <c r="E768" s="1894"/>
      <c r="F768" s="1894"/>
      <c r="G768" s="270"/>
    </row>
    <row r="769" spans="1:7" ht="14.25">
      <c r="A769" s="260"/>
      <c r="B769" s="260"/>
      <c r="D769" s="135"/>
      <c r="E769" s="135"/>
      <c r="F769" s="270"/>
      <c r="G769" s="270"/>
    </row>
    <row r="770" spans="1:7">
      <c r="A770" s="1897" t="s">
        <v>472</v>
      </c>
      <c r="B770" s="1897"/>
      <c r="C770" s="1897"/>
      <c r="D770" s="1897"/>
      <c r="E770" s="1897"/>
      <c r="F770" s="1897"/>
      <c r="G770" s="1897"/>
    </row>
    <row r="771" spans="1:7">
      <c r="C771" s="259"/>
      <c r="D771" s="258"/>
      <c r="E771" s="135"/>
      <c r="F771" s="270"/>
      <c r="G771" s="270"/>
    </row>
    <row r="772" spans="1:7">
      <c r="A772" s="135"/>
      <c r="B772" s="1894" t="s">
        <v>469</v>
      </c>
      <c r="C772" s="1894"/>
      <c r="D772" s="1894"/>
      <c r="E772" s="1894"/>
      <c r="F772" s="1894"/>
      <c r="G772" s="270"/>
    </row>
    <row r="773" spans="1:7">
      <c r="A773" s="135"/>
      <c r="B773" s="135"/>
      <c r="C773" s="265"/>
      <c r="D773" s="270"/>
      <c r="E773" s="270"/>
      <c r="F773" s="270"/>
      <c r="G773" s="270"/>
    </row>
    <row r="774" spans="1:7">
      <c r="A774" s="1897" t="s">
        <v>473</v>
      </c>
      <c r="B774" s="1897"/>
      <c r="C774" s="1897"/>
      <c r="D774" s="1897"/>
      <c r="E774" s="1897"/>
      <c r="F774" s="1897"/>
      <c r="G774" s="1897"/>
    </row>
    <row r="775" spans="1:7">
      <c r="A775" s="135"/>
      <c r="B775" s="135"/>
    </row>
    <row r="776" spans="1:7">
      <c r="A776" s="135"/>
      <c r="B776" s="1894" t="s">
        <v>469</v>
      </c>
      <c r="C776" s="1894"/>
      <c r="D776" s="1894"/>
      <c r="E776" s="1894"/>
      <c r="F776" s="1894"/>
    </row>
    <row r="777" spans="1:7">
      <c r="A777" s="265"/>
      <c r="B777" s="265"/>
      <c r="C777" s="265"/>
      <c r="D777" s="257"/>
      <c r="F777" s="270"/>
    </row>
    <row r="778" spans="1:7">
      <c r="A778" s="1897" t="s">
        <v>474</v>
      </c>
      <c r="B778" s="1897"/>
      <c r="C778" s="1897"/>
      <c r="D778" s="1897"/>
      <c r="E778" s="1897"/>
      <c r="F778" s="1897"/>
      <c r="G778" s="1897"/>
    </row>
    <row r="779" spans="1:7">
      <c r="A779" s="135"/>
      <c r="B779" s="135"/>
    </row>
    <row r="780" spans="1:7">
      <c r="A780" s="135"/>
      <c r="B780" s="1894" t="s">
        <v>469</v>
      </c>
      <c r="C780" s="1894"/>
      <c r="D780" s="1894"/>
      <c r="E780" s="1894"/>
      <c r="F780" s="1894"/>
    </row>
    <row r="781" spans="1:7">
      <c r="A781" s="265"/>
      <c r="B781" s="265"/>
      <c r="C781" s="265"/>
      <c r="D781" s="257"/>
      <c r="F781" s="270"/>
    </row>
    <row r="782" spans="1:7">
      <c r="A782" s="1897" t="s">
        <v>475</v>
      </c>
      <c r="B782" s="1897"/>
      <c r="C782" s="1897"/>
      <c r="D782" s="1897"/>
      <c r="E782" s="1897"/>
      <c r="F782" s="1897"/>
      <c r="G782" s="1897"/>
    </row>
    <row r="783" spans="1:7">
      <c r="A783" s="135"/>
      <c r="B783" s="135"/>
    </row>
    <row r="784" spans="1:7">
      <c r="A784" s="135"/>
      <c r="B784" s="1894" t="s">
        <v>469</v>
      </c>
      <c r="C784" s="1894"/>
      <c r="D784" s="1894"/>
      <c r="E784" s="1894"/>
      <c r="F784" s="1894"/>
    </row>
    <row r="785" spans="1:7">
      <c r="A785" s="264"/>
      <c r="B785" s="264"/>
      <c r="C785" s="264"/>
      <c r="D785" s="276"/>
      <c r="E785" s="57"/>
      <c r="F785" s="57"/>
      <c r="G785" s="57"/>
    </row>
    <row r="786" spans="1:7">
      <c r="A786" s="1897" t="s">
        <v>191</v>
      </c>
      <c r="B786" s="1897"/>
      <c r="C786" s="1897"/>
      <c r="D786" s="1897"/>
      <c r="E786" s="1897"/>
      <c r="F786" s="1897"/>
      <c r="G786" s="1897"/>
    </row>
    <row r="787" spans="1:7">
      <c r="A787" s="135"/>
      <c r="B787" s="135"/>
    </row>
    <row r="788" spans="1:7">
      <c r="A788" s="135"/>
      <c r="B788" s="1894" t="s">
        <v>469</v>
      </c>
      <c r="C788" s="1894"/>
      <c r="D788" s="1894"/>
      <c r="E788" s="1894"/>
      <c r="F788" s="1894"/>
    </row>
    <row r="789" spans="1:7">
      <c r="A789" s="135"/>
      <c r="B789" s="135"/>
      <c r="D789" s="257"/>
    </row>
    <row r="790" spans="1:7">
      <c r="A790" s="1897" t="s">
        <v>937</v>
      </c>
      <c r="B790" s="1897"/>
      <c r="C790" s="1897"/>
      <c r="D790" s="1897"/>
      <c r="E790" s="1897"/>
      <c r="F790" s="1897"/>
      <c r="G790" s="1897"/>
    </row>
    <row r="791" spans="1:7">
      <c r="A791" s="135"/>
      <c r="B791" s="135"/>
    </row>
    <row r="792" spans="1:7">
      <c r="A792" s="135"/>
      <c r="B792" s="1894" t="s">
        <v>469</v>
      </c>
      <c r="C792" s="1894"/>
      <c r="D792" s="1894"/>
      <c r="E792" s="1894"/>
      <c r="F792" s="1894"/>
      <c r="G792" s="12"/>
    </row>
    <row r="793" spans="1:7">
      <c r="A793" s="254"/>
      <c r="B793" s="672"/>
      <c r="C793" s="254"/>
      <c r="E793" s="12"/>
      <c r="F793" s="12"/>
      <c r="G793" s="12"/>
    </row>
    <row r="794" spans="1:7" ht="14.25">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6" zoomScaleNormal="100" zoomScaleSheetLayoutView="100" workbookViewId="0">
      <selection activeCell="A2" sqref="A2:J2"/>
    </sheetView>
  </sheetViews>
  <sheetFormatPr defaultColWidth="0" defaultRowHeight="12.6" customHeight="1" zeroHeight="1"/>
  <cols>
    <col min="1" max="10" width="10.7109375" style="721" customWidth="1"/>
    <col min="11" max="16384" width="8.85546875" style="721" hidden="1"/>
  </cols>
  <sheetData>
    <row r="1" spans="1:10" ht="14.25" customHeight="1"/>
    <row r="2" spans="1:10" ht="15.75">
      <c r="A2" s="1944" t="s">
        <v>2398</v>
      </c>
      <c r="B2" s="1945"/>
      <c r="C2" s="1945"/>
      <c r="D2" s="1945"/>
      <c r="E2" s="1945"/>
      <c r="F2" s="1945"/>
      <c r="G2" s="1945"/>
      <c r="H2" s="1945"/>
      <c r="I2" s="1945"/>
      <c r="J2" s="1945"/>
    </row>
    <row r="3" spans="1:10" ht="15">
      <c r="A3" s="1949" t="s">
        <v>1498</v>
      </c>
      <c r="B3" s="1950"/>
      <c r="C3" s="1950"/>
      <c r="D3" s="1950"/>
      <c r="E3" s="1950"/>
      <c r="F3" s="1950"/>
      <c r="G3" s="1950"/>
      <c r="H3" s="1950"/>
      <c r="I3" s="1950"/>
      <c r="J3" s="1950"/>
    </row>
    <row r="4" spans="1:10" ht="12.75"/>
    <row r="5" spans="1:10" ht="12.75" customHeight="1">
      <c r="A5" s="1946" t="s">
        <v>2401</v>
      </c>
      <c r="B5" s="1946"/>
      <c r="C5" s="1946"/>
      <c r="D5" s="1946"/>
      <c r="E5" s="1946"/>
      <c r="F5" s="1946"/>
      <c r="G5" s="1946"/>
      <c r="H5" s="1946"/>
      <c r="I5" s="1946"/>
      <c r="J5" s="1946"/>
    </row>
    <row r="6" spans="1:10" ht="12.75">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ht="12.75">
      <c r="A8" s="771"/>
      <c r="B8" s="771"/>
      <c r="C8" s="771"/>
      <c r="D8" s="771"/>
      <c r="E8" s="771"/>
      <c r="F8" s="771"/>
      <c r="G8" s="771"/>
      <c r="H8" s="771"/>
      <c r="I8" s="771"/>
      <c r="J8" s="771"/>
    </row>
    <row r="9" spans="1:10" ht="12.75" customHeight="1">
      <c r="A9" s="1829" t="s">
        <v>2402</v>
      </c>
      <c r="B9" s="1828"/>
      <c r="C9" s="1828"/>
      <c r="D9" s="1828"/>
      <c r="E9" s="1828"/>
      <c r="F9" s="1828"/>
      <c r="G9" s="1828"/>
      <c r="H9" s="1828"/>
      <c r="I9" s="1828"/>
      <c r="J9" s="1828"/>
    </row>
    <row r="10" spans="1:10" ht="12.75"/>
    <row r="11" spans="1:10" ht="12.75" customHeight="1">
      <c r="A11" s="1951" t="s">
        <v>2404</v>
      </c>
      <c r="B11" s="1951"/>
      <c r="C11" s="1951"/>
      <c r="D11" s="1951"/>
      <c r="E11" s="1951"/>
      <c r="F11" s="1951"/>
      <c r="G11" s="1951"/>
      <c r="H11" s="1951"/>
      <c r="I11" s="1951"/>
      <c r="J11" s="1951"/>
    </row>
    <row r="12" spans="1:10" ht="12.75">
      <c r="A12" s="1951"/>
      <c r="B12" s="1951"/>
      <c r="C12" s="1951"/>
      <c r="D12" s="1951"/>
      <c r="E12" s="1951"/>
      <c r="F12" s="1951"/>
      <c r="G12" s="1951"/>
      <c r="H12" s="1951"/>
      <c r="I12" s="1951"/>
      <c r="J12" s="1951"/>
    </row>
    <row r="13" spans="1:10" s="1768" customFormat="1" ht="12.75">
      <c r="A13" s="1951"/>
      <c r="B13" s="1951"/>
      <c r="C13" s="1951"/>
      <c r="D13" s="1951"/>
      <c r="E13" s="1951"/>
      <c r="F13" s="1951"/>
      <c r="G13" s="1951"/>
      <c r="H13" s="1951"/>
      <c r="I13" s="1951"/>
      <c r="J13" s="1951"/>
    </row>
    <row r="14" spans="1:10" ht="12.75">
      <c r="A14" s="1952"/>
      <c r="B14" s="1952"/>
      <c r="C14" s="1952"/>
      <c r="D14" s="1952"/>
      <c r="E14" s="1952"/>
      <c r="F14" s="1952"/>
      <c r="G14" s="1952"/>
      <c r="H14" s="1952"/>
      <c r="I14" s="1952"/>
      <c r="J14" s="1952"/>
    </row>
    <row r="15" spans="1:10" ht="12.75">
      <c r="A15" s="1952"/>
      <c r="B15" s="1952"/>
      <c r="C15" s="1952"/>
      <c r="D15" s="1952"/>
      <c r="E15" s="1952"/>
      <c r="F15" s="1952"/>
      <c r="G15" s="1952"/>
      <c r="H15" s="1952"/>
      <c r="I15" s="1952"/>
      <c r="J15" s="1952"/>
    </row>
    <row r="16" spans="1:10" ht="12.75">
      <c r="A16" s="1952"/>
      <c r="B16" s="1952"/>
      <c r="C16" s="1952"/>
      <c r="D16" s="1952"/>
      <c r="E16" s="1952"/>
      <c r="F16" s="1952"/>
      <c r="G16" s="1952"/>
      <c r="H16" s="1952"/>
      <c r="I16" s="1952"/>
      <c r="J16" s="1952"/>
    </row>
    <row r="17" spans="1:10" s="1768" customFormat="1" ht="12.75">
      <c r="A17" s="1831"/>
      <c r="B17" s="1831"/>
      <c r="C17" s="1831"/>
      <c r="D17" s="1831"/>
      <c r="E17" s="1831"/>
      <c r="F17" s="1831"/>
      <c r="G17" s="1831"/>
      <c r="H17" s="1831"/>
      <c r="I17" s="1831"/>
      <c r="J17" s="1831"/>
    </row>
    <row r="18" spans="1:10" ht="12.75">
      <c r="A18" s="772" t="s">
        <v>2403</v>
      </c>
      <c r="B18" s="771"/>
      <c r="C18" s="771"/>
      <c r="D18" s="771"/>
      <c r="E18" s="771"/>
      <c r="F18" s="771"/>
      <c r="G18" s="771"/>
      <c r="H18" s="771"/>
      <c r="I18" s="771"/>
      <c r="J18" s="771"/>
    </row>
    <row r="19" spans="1:10" ht="12.75">
      <c r="A19" s="773" t="s">
        <v>255</v>
      </c>
      <c r="B19" s="773"/>
      <c r="C19" s="773"/>
      <c r="D19" s="773"/>
      <c r="E19" s="773"/>
      <c r="F19" s="773"/>
      <c r="G19" s="773"/>
      <c r="H19" s="773"/>
      <c r="I19" s="773"/>
      <c r="J19" s="773"/>
    </row>
    <row r="20" spans="1:10" ht="12.75">
      <c r="A20" s="1953" t="s">
        <v>1389</v>
      </c>
      <c r="B20" s="1950"/>
      <c r="C20" s="1950"/>
      <c r="D20" s="1950"/>
      <c r="E20" s="195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6" t="s">
        <v>1390</v>
      </c>
      <c r="B57" s="1947"/>
      <c r="C57" s="1947"/>
      <c r="D57" s="1947"/>
      <c r="E57" s="1947"/>
      <c r="F57" s="1947"/>
      <c r="G57" s="1947"/>
      <c r="H57" s="1947"/>
      <c r="I57" s="1947"/>
      <c r="J57" s="1947"/>
    </row>
    <row r="58" spans="1:10" ht="12.75">
      <c r="A58" s="1947"/>
      <c r="B58" s="1947"/>
      <c r="C58" s="1947"/>
      <c r="D58" s="1947"/>
      <c r="E58" s="1947"/>
      <c r="F58" s="1947"/>
      <c r="G58" s="1947"/>
      <c r="H58" s="1947"/>
      <c r="I58" s="1947"/>
      <c r="J58" s="1947"/>
    </row>
    <row r="59" spans="1:10" ht="12.75">
      <c r="A59" s="1947"/>
      <c r="B59" s="1947"/>
      <c r="C59" s="1947"/>
      <c r="D59" s="1947"/>
      <c r="E59" s="1947"/>
      <c r="F59" s="1947"/>
      <c r="G59" s="1947"/>
      <c r="H59" s="1947"/>
      <c r="I59" s="1947"/>
      <c r="J59" s="1947"/>
    </row>
    <row r="60" spans="1:10" ht="12.75"/>
    <row r="61" spans="1:10" ht="12.75">
      <c r="A61" s="671"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48" t="s">
        <v>2399</v>
      </c>
      <c r="B72" s="1948"/>
      <c r="C72" s="1948"/>
      <c r="D72" s="1948"/>
      <c r="E72" s="1948"/>
      <c r="F72" s="1948"/>
      <c r="G72" s="1948"/>
      <c r="H72" s="1948"/>
      <c r="I72" s="1948"/>
    </row>
    <row r="73" spans="1:9" ht="12.75">
      <c r="A73" s="1870" t="s">
        <v>1092</v>
      </c>
      <c r="B73" s="1870"/>
      <c r="C73" s="1870"/>
      <c r="D73" s="1870"/>
      <c r="E73" s="1870"/>
    </row>
    <row r="74" spans="1:9" ht="12.75">
      <c r="A74" s="1870" t="s">
        <v>1391</v>
      </c>
      <c r="B74" s="1870"/>
      <c r="C74" s="1870"/>
      <c r="D74" s="1870"/>
      <c r="E74" s="1870"/>
    </row>
    <row r="75" spans="1:9" ht="12.75">
      <c r="A75" s="1870" t="s">
        <v>2400</v>
      </c>
      <c r="B75" s="1870"/>
      <c r="C75" s="1870"/>
      <c r="D75" s="1870"/>
      <c r="E75" s="1870"/>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64" zoomScaleNormal="100" zoomScaleSheetLayoutView="100" workbookViewId="0">
      <selection activeCell="F1097" sqref="F1097"/>
    </sheetView>
  </sheetViews>
  <sheetFormatPr defaultColWidth="8.85546875" defaultRowHeight="12.75" zeroHeight="1"/>
  <cols>
    <col min="1" max="1" width="3.42578125" style="787" customWidth="1"/>
    <col min="2" max="2" width="13.42578125" style="787" customWidth="1"/>
    <col min="3" max="3" width="2.42578125" style="787" customWidth="1"/>
    <col min="4" max="5" width="3.42578125" style="788" customWidth="1"/>
    <col min="6" max="6" width="65.42578125" style="788" customWidth="1"/>
    <col min="7" max="7" width="1.42578125" style="788" customWidth="1"/>
    <col min="8" max="8" width="3.42578125" style="789" customWidth="1"/>
    <col min="9" max="9" width="24.42578125" style="1773" customWidth="1"/>
    <col min="10" max="16384" width="8.85546875" style="789"/>
  </cols>
  <sheetData>
    <row r="1" spans="1:9"/>
    <row r="2" spans="1:9">
      <c r="A2" s="1954" t="s">
        <v>2239</v>
      </c>
      <c r="B2" s="1954"/>
      <c r="C2" s="1954"/>
      <c r="D2" s="1954"/>
      <c r="E2" s="1954"/>
      <c r="F2" s="1954"/>
      <c r="G2" s="1954"/>
      <c r="H2" s="1954"/>
      <c r="I2" s="1954"/>
    </row>
    <row r="3" spans="1:9">
      <c r="A3" s="1955" t="s">
        <v>2240</v>
      </c>
      <c r="B3" s="1955"/>
      <c r="C3" s="1955"/>
      <c r="D3" s="1955"/>
      <c r="E3" s="1955"/>
      <c r="F3" s="1955"/>
      <c r="G3" s="1955"/>
      <c r="H3" s="1955"/>
      <c r="I3" s="1955"/>
    </row>
    <row r="4" spans="1:9">
      <c r="A4" s="1980"/>
      <c r="B4" s="1980"/>
      <c r="C4" s="1984"/>
      <c r="D4" s="1984"/>
      <c r="E4" s="1984"/>
      <c r="F4" s="1984"/>
      <c r="G4" s="1984"/>
      <c r="I4" s="641"/>
    </row>
    <row r="5" spans="1:9" s="790" customFormat="1">
      <c r="A5" s="1980"/>
      <c r="B5" s="1980"/>
      <c r="C5" s="1981"/>
      <c r="D5" s="1981"/>
      <c r="E5" s="1981"/>
      <c r="F5" s="1981"/>
      <c r="G5" s="1981"/>
      <c r="I5" s="1836"/>
    </row>
    <row r="6" spans="1:9" s="790" customFormat="1">
      <c r="A6" s="1976" t="s">
        <v>1253</v>
      </c>
      <c r="B6" s="1976"/>
      <c r="C6" s="1977"/>
      <c r="D6" s="1977"/>
      <c r="E6" s="1977"/>
      <c r="F6" s="1977"/>
      <c r="G6" s="1977"/>
      <c r="I6" s="1835" t="s">
        <v>2414</v>
      </c>
    </row>
    <row r="7" spans="1:9" s="790" customFormat="1">
      <c r="A7" s="1976" t="s">
        <v>1254</v>
      </c>
      <c r="B7" s="1976"/>
      <c r="C7" s="1977"/>
      <c r="D7" s="1977"/>
      <c r="E7" s="1977"/>
      <c r="F7" s="1977"/>
      <c r="G7" s="1977"/>
      <c r="I7" s="1835" t="s">
        <v>2415</v>
      </c>
    </row>
    <row r="8" spans="1:9">
      <c r="A8" s="791"/>
      <c r="B8" s="791"/>
      <c r="C8" s="792"/>
      <c r="D8" s="792"/>
      <c r="E8" s="792"/>
      <c r="F8" s="792"/>
    </row>
    <row r="9" spans="1:9">
      <c r="A9" s="1918" t="s">
        <v>1256</v>
      </c>
      <c r="B9" s="1918"/>
      <c r="C9" s="1918"/>
      <c r="D9" s="1918"/>
      <c r="E9" s="1918"/>
      <c r="F9" s="1918"/>
      <c r="G9" s="1918"/>
      <c r="H9" s="1852"/>
      <c r="I9" s="1853"/>
    </row>
    <row r="10" spans="1:9">
      <c r="A10" s="792"/>
      <c r="B10" s="792"/>
      <c r="E10" s="793"/>
    </row>
    <row r="11" spans="1:9" ht="13.9" customHeight="1">
      <c r="C11" s="792"/>
      <c r="D11" s="1979" t="s">
        <v>1255</v>
      </c>
      <c r="E11" s="1979"/>
      <c r="F11" s="1979"/>
    </row>
    <row r="12" spans="1:9">
      <c r="C12" s="792"/>
      <c r="D12" s="1979"/>
      <c r="E12" s="1979"/>
      <c r="F12" s="1979"/>
    </row>
    <row r="13" spans="1:9">
      <c r="A13" s="794"/>
      <c r="B13" s="794"/>
      <c r="C13" s="794"/>
      <c r="D13" s="1928" t="s">
        <v>1238</v>
      </c>
      <c r="E13" s="1928"/>
      <c r="F13" s="1928"/>
    </row>
    <row r="14" spans="1:9">
      <c r="A14" s="794"/>
      <c r="B14" s="794"/>
      <c r="C14" s="794"/>
      <c r="D14" s="795"/>
    </row>
    <row r="15" spans="1:9" ht="14.25">
      <c r="A15" s="796"/>
      <c r="B15" s="797" t="s">
        <v>2590</v>
      </c>
      <c r="C15" s="798"/>
      <c r="D15" s="1923" t="s">
        <v>1239</v>
      </c>
      <c r="E15" s="1923"/>
      <c r="F15" s="1923"/>
      <c r="I15" s="1773" t="s">
        <v>2416</v>
      </c>
    </row>
    <row r="16" spans="1:9">
      <c r="A16" s="794"/>
      <c r="B16" s="794"/>
      <c r="C16" s="798"/>
      <c r="D16" s="1923"/>
      <c r="E16" s="1923"/>
      <c r="F16" s="1923"/>
    </row>
    <row r="17" spans="1:9">
      <c r="A17" s="794"/>
      <c r="B17" s="794"/>
      <c r="C17" s="798"/>
      <c r="D17" s="1923"/>
      <c r="E17" s="1923"/>
      <c r="F17" s="1923"/>
    </row>
    <row r="18" spans="1:9">
      <c r="A18" s="794"/>
      <c r="B18" s="794"/>
      <c r="C18" s="794"/>
    </row>
    <row r="19" spans="1:9" ht="14.25">
      <c r="A19" s="796"/>
      <c r="B19" s="797" t="s">
        <v>2589</v>
      </c>
      <c r="D19" s="1902" t="s">
        <v>1240</v>
      </c>
      <c r="E19" s="1902"/>
      <c r="F19" s="1902"/>
      <c r="I19" s="1773" t="s">
        <v>2417</v>
      </c>
    </row>
    <row r="20" spans="1:9" ht="14.25">
      <c r="A20" s="796"/>
      <c r="B20" s="796"/>
      <c r="D20" s="799"/>
    </row>
    <row r="21" spans="1:9" ht="14.25">
      <c r="A21" s="796"/>
      <c r="B21" s="797" t="s">
        <v>2590</v>
      </c>
      <c r="D21" s="1923" t="s">
        <v>1241</v>
      </c>
      <c r="E21" s="1923"/>
      <c r="F21" s="1923"/>
      <c r="I21" s="1773" t="s">
        <v>2417</v>
      </c>
    </row>
    <row r="22" spans="1:9" ht="14.25">
      <c r="A22" s="796"/>
      <c r="B22" s="796"/>
      <c r="D22" s="1923"/>
      <c r="E22" s="1923"/>
      <c r="F22" s="1923"/>
    </row>
    <row r="23" spans="1:9"/>
    <row r="24" spans="1:9" ht="14.25">
      <c r="A24" s="796"/>
      <c r="B24" s="797" t="s">
        <v>2589</v>
      </c>
      <c r="D24" s="1968" t="s">
        <v>1242</v>
      </c>
      <c r="E24" s="1968"/>
      <c r="F24" s="1968"/>
      <c r="I24" s="1773" t="s">
        <v>2420</v>
      </c>
    </row>
    <row r="25" spans="1:9">
      <c r="D25" s="1968"/>
      <c r="E25" s="1968"/>
      <c r="F25" s="1968"/>
    </row>
    <row r="26" spans="1:9">
      <c r="D26" s="1968"/>
      <c r="E26" s="1968"/>
      <c r="F26" s="1968"/>
    </row>
    <row r="27" spans="1:9">
      <c r="D27" s="1968"/>
      <c r="E27" s="1968"/>
      <c r="F27" s="1968"/>
    </row>
    <row r="28" spans="1:9">
      <c r="D28" s="1968"/>
      <c r="E28" s="1968"/>
      <c r="F28" s="1968"/>
    </row>
    <row r="29" spans="1:9" s="790" customFormat="1">
      <c r="A29" s="800"/>
      <c r="B29" s="800"/>
      <c r="C29" s="800"/>
      <c r="D29" s="732"/>
      <c r="E29" s="801"/>
      <c r="F29" s="801"/>
      <c r="G29" s="801"/>
      <c r="I29" s="1836"/>
    </row>
    <row r="30" spans="1:9" s="790" customFormat="1">
      <c r="A30" s="800"/>
      <c r="B30" s="797" t="s">
        <v>2590</v>
      </c>
      <c r="C30" s="800"/>
      <c r="D30" s="1880" t="s">
        <v>1243</v>
      </c>
      <c r="E30" s="1880"/>
      <c r="F30" s="1880"/>
      <c r="G30" s="801"/>
      <c r="I30" s="1836" t="s">
        <v>2416</v>
      </c>
    </row>
    <row r="31" spans="1:9" s="790" customFormat="1">
      <c r="A31" s="800"/>
      <c r="B31" s="800"/>
      <c r="C31" s="800"/>
      <c r="D31" s="1880"/>
      <c r="E31" s="1880"/>
      <c r="F31" s="1880"/>
      <c r="G31" s="801"/>
      <c r="I31" s="1836"/>
    </row>
    <row r="32" spans="1:9" ht="14.25">
      <c r="A32" s="796"/>
      <c r="B32" s="796"/>
      <c r="D32" s="802"/>
    </row>
    <row r="33" spans="1:9" ht="14.65" customHeight="1">
      <c r="A33" s="796"/>
      <c r="B33" s="797" t="s">
        <v>2590</v>
      </c>
      <c r="D33" s="1880" t="s">
        <v>1422</v>
      </c>
      <c r="E33" s="1880"/>
      <c r="F33" s="1880"/>
      <c r="I33" s="1836" t="s">
        <v>2488</v>
      </c>
    </row>
    <row r="34" spans="1:9" ht="14.25">
      <c r="A34" s="796"/>
      <c r="B34" s="796"/>
      <c r="D34" s="1880"/>
      <c r="E34" s="1880"/>
      <c r="F34" s="1880"/>
    </row>
    <row r="35" spans="1:9" ht="14.25">
      <c r="A35" s="796"/>
      <c r="B35" s="796"/>
      <c r="D35" s="1880"/>
      <c r="E35" s="1880"/>
      <c r="F35" s="1880"/>
    </row>
    <row r="36" spans="1:9" ht="14.25">
      <c r="A36" s="796"/>
      <c r="B36" s="796"/>
      <c r="D36" s="1880"/>
      <c r="E36" s="1880"/>
      <c r="F36" s="1880"/>
    </row>
    <row r="37" spans="1:9" ht="14.25">
      <c r="A37" s="796"/>
      <c r="B37" s="796"/>
      <c r="D37" s="789"/>
    </row>
    <row r="38" spans="1:9" ht="14.25">
      <c r="A38" s="796"/>
      <c r="B38" s="797" t="s">
        <v>2590</v>
      </c>
      <c r="D38" s="1880" t="s">
        <v>1245</v>
      </c>
      <c r="E38" s="1880"/>
      <c r="F38" s="1880"/>
    </row>
    <row r="39" spans="1:9" ht="14.25">
      <c r="A39" s="796"/>
      <c r="B39" s="796"/>
      <c r="D39" s="1880"/>
      <c r="E39" s="1880"/>
      <c r="F39" s="1880"/>
    </row>
    <row r="40" spans="1:9" ht="14.25">
      <c r="A40" s="796"/>
      <c r="B40" s="796"/>
      <c r="D40" s="1880"/>
      <c r="E40" s="1880"/>
      <c r="F40" s="1880"/>
    </row>
    <row r="41" spans="1:9" ht="14.25">
      <c r="A41" s="796"/>
      <c r="B41" s="796"/>
      <c r="D41" s="1880"/>
      <c r="E41" s="1880"/>
      <c r="F41" s="1880"/>
    </row>
    <row r="42" spans="1:9" ht="14.25">
      <c r="A42" s="796"/>
      <c r="B42" s="796"/>
      <c r="D42" s="1880"/>
      <c r="E42" s="1880"/>
      <c r="F42" s="1880"/>
    </row>
    <row r="43" spans="1:9" ht="14.25">
      <c r="A43" s="796"/>
      <c r="B43" s="796"/>
      <c r="D43" s="780"/>
      <c r="E43" s="780"/>
      <c r="F43" s="780"/>
    </row>
    <row r="44" spans="1:9" ht="14.25">
      <c r="A44" s="796"/>
      <c r="B44" s="797" t="s">
        <v>2590</v>
      </c>
      <c r="D44" s="1880" t="s">
        <v>1246</v>
      </c>
      <c r="E44" s="1880"/>
      <c r="F44" s="1880"/>
      <c r="I44" s="1836" t="s">
        <v>2488</v>
      </c>
    </row>
    <row r="45" spans="1:9" ht="14.25">
      <c r="A45" s="796"/>
      <c r="B45" s="796"/>
      <c r="D45" s="1880"/>
      <c r="E45" s="1880"/>
      <c r="F45" s="1880"/>
    </row>
    <row r="46" spans="1:9" ht="14.25">
      <c r="A46" s="796"/>
      <c r="B46" s="796"/>
      <c r="D46" s="1880"/>
      <c r="E46" s="1880"/>
      <c r="F46" s="1880"/>
    </row>
    <row r="47" spans="1:9" ht="23.25" customHeight="1">
      <c r="A47" s="796"/>
      <c r="B47" s="796"/>
      <c r="D47" s="1880"/>
      <c r="E47" s="1880"/>
      <c r="F47" s="1880"/>
    </row>
    <row r="48" spans="1:9" ht="14.25">
      <c r="A48" s="796"/>
      <c r="B48" s="796"/>
      <c r="D48" s="784"/>
    </row>
    <row r="49" spans="1:9" ht="14.65" customHeight="1">
      <c r="A49" s="796"/>
      <c r="B49" s="797" t="s">
        <v>2590</v>
      </c>
      <c r="D49" s="1880" t="s">
        <v>1247</v>
      </c>
      <c r="E49" s="1880"/>
      <c r="F49" s="1880"/>
      <c r="I49" s="1836" t="s">
        <v>2488</v>
      </c>
    </row>
    <row r="50" spans="1:9" ht="14.25">
      <c r="A50" s="796"/>
      <c r="B50" s="796"/>
      <c r="D50" s="1880"/>
      <c r="E50" s="1880"/>
      <c r="F50" s="1880"/>
    </row>
    <row r="51" spans="1:9" ht="14.25">
      <c r="A51" s="796"/>
      <c r="B51" s="796"/>
      <c r="D51" s="1880"/>
      <c r="E51" s="1880"/>
      <c r="F51" s="1880"/>
    </row>
    <row r="52" spans="1:9" s="617" customFormat="1" ht="14.25">
      <c r="A52" s="796"/>
      <c r="B52" s="796"/>
      <c r="C52" s="803"/>
      <c r="D52" s="801"/>
      <c r="E52" s="692"/>
      <c r="F52" s="692"/>
      <c r="G52" s="692"/>
      <c r="I52" s="641"/>
    </row>
    <row r="53" spans="1:9" s="617" customFormat="1" ht="14.25">
      <c r="A53" s="804"/>
      <c r="B53" s="797" t="s">
        <v>2589</v>
      </c>
      <c r="C53" s="805"/>
      <c r="D53" s="1880" t="s">
        <v>1248</v>
      </c>
      <c r="E53" s="1880"/>
      <c r="F53" s="1880"/>
      <c r="G53" s="692"/>
      <c r="I53" s="1773"/>
    </row>
    <row r="54" spans="1:9" s="617" customFormat="1" ht="14.25">
      <c r="A54" s="804"/>
      <c r="B54" s="804"/>
      <c r="C54" s="805"/>
      <c r="D54" s="1880"/>
      <c r="E54" s="1880"/>
      <c r="F54" s="1880"/>
      <c r="G54" s="692"/>
      <c r="I54" s="641"/>
    </row>
    <row r="55" spans="1:9" s="790" customFormat="1">
      <c r="A55" s="800"/>
      <c r="B55" s="800"/>
      <c r="C55" s="800"/>
      <c r="D55" s="732"/>
      <c r="E55" s="801"/>
      <c r="F55" s="801"/>
      <c r="G55" s="801"/>
      <c r="I55" s="1836"/>
    </row>
    <row r="56" spans="1:9" ht="14.25">
      <c r="A56" s="796"/>
      <c r="B56" s="797" t="s">
        <v>2590</v>
      </c>
      <c r="D56" s="1880" t="s">
        <v>1249</v>
      </c>
      <c r="E56" s="1880"/>
      <c r="F56" s="1880"/>
      <c r="I56" s="1773" t="s">
        <v>2418</v>
      </c>
    </row>
    <row r="57" spans="1:9">
      <c r="D57" s="1880"/>
      <c r="E57" s="1880"/>
      <c r="F57" s="1880"/>
    </row>
    <row r="58" spans="1:9">
      <c r="D58" s="1880"/>
      <c r="E58" s="1880"/>
      <c r="F58" s="1880"/>
    </row>
    <row r="59" spans="1:9">
      <c r="D59" s="692"/>
    </row>
    <row r="60" spans="1:9" ht="14.25">
      <c r="A60" s="796"/>
      <c r="B60" s="797" t="s">
        <v>2589</v>
      </c>
      <c r="D60" s="1880" t="s">
        <v>1250</v>
      </c>
      <c r="E60" s="1880"/>
      <c r="F60" s="1880"/>
      <c r="I60" s="1773" t="s">
        <v>2419</v>
      </c>
    </row>
    <row r="61" spans="1:9">
      <c r="D61" s="1880"/>
      <c r="E61" s="1880"/>
      <c r="F61" s="1880"/>
    </row>
    <row r="62" spans="1:9"/>
    <row r="63" spans="1:9" ht="14.25">
      <c r="A63" s="796"/>
      <c r="B63" s="797" t="s">
        <v>2590</v>
      </c>
      <c r="D63" s="1880" t="s">
        <v>1251</v>
      </c>
      <c r="E63" s="1880"/>
      <c r="F63" s="1880"/>
    </row>
    <row r="64" spans="1:9">
      <c r="D64" s="1880"/>
      <c r="E64" s="1880"/>
      <c r="F64" s="1880"/>
      <c r="I64" s="1773" t="s">
        <v>2420</v>
      </c>
    </row>
    <row r="65" spans="1:9">
      <c r="D65" s="1880"/>
      <c r="E65" s="1880"/>
      <c r="F65" s="1880"/>
    </row>
    <row r="66" spans="1:9">
      <c r="D66" s="789"/>
    </row>
    <row r="67" spans="1:9" ht="14.25">
      <c r="A67" s="796"/>
      <c r="B67" s="797" t="s">
        <v>2590</v>
      </c>
      <c r="D67" s="1923" t="s">
        <v>1252</v>
      </c>
      <c r="E67" s="1923"/>
      <c r="F67" s="1923"/>
      <c r="I67" s="1773" t="s">
        <v>2420</v>
      </c>
    </row>
    <row r="68" spans="1:9">
      <c r="D68" s="1923"/>
      <c r="E68" s="1923"/>
      <c r="F68" s="1923"/>
    </row>
    <row r="69" spans="1:9" ht="14.25">
      <c r="A69" s="796"/>
      <c r="B69" s="796"/>
      <c r="D69" s="799"/>
    </row>
    <row r="70" spans="1:9">
      <c r="A70" s="1888" t="s">
        <v>1159</v>
      </c>
      <c r="B70" s="1888"/>
      <c r="C70" s="1888"/>
      <c r="D70" s="1888"/>
      <c r="E70" s="1888"/>
      <c r="F70" s="1888"/>
      <c r="G70" s="1888"/>
      <c r="H70" s="1852"/>
      <c r="I70" s="1853"/>
    </row>
    <row r="71" spans="1:9"/>
    <row r="72" spans="1:9">
      <c r="C72" s="806"/>
      <c r="D72" s="1961" t="s">
        <v>1257</v>
      </c>
      <c r="E72" s="1961"/>
      <c r="F72" s="1961"/>
    </row>
    <row r="73" spans="1:9">
      <c r="A73" s="799"/>
      <c r="B73" s="799"/>
      <c r="D73" s="1923" t="s">
        <v>1284</v>
      </c>
      <c r="E73" s="1923"/>
      <c r="F73" s="1923"/>
    </row>
    <row r="74" spans="1:9">
      <c r="A74" s="799"/>
      <c r="B74" s="799"/>
    </row>
    <row r="75" spans="1:9" ht="13.9" customHeight="1">
      <c r="A75" s="796"/>
      <c r="B75" s="797" t="s">
        <v>2589</v>
      </c>
      <c r="D75" s="1923" t="s">
        <v>1471</v>
      </c>
      <c r="E75" s="1923"/>
      <c r="F75" s="1923"/>
      <c r="I75" s="1773" t="s">
        <v>2421</v>
      </c>
    </row>
    <row r="76" spans="1:9" ht="14.25">
      <c r="A76" s="796"/>
      <c r="B76" s="796"/>
      <c r="D76" s="1923"/>
      <c r="E76" s="1923"/>
      <c r="F76" s="1923"/>
    </row>
    <row r="77" spans="1:9" ht="14.25">
      <c r="A77" s="796"/>
      <c r="B77" s="796"/>
      <c r="D77" s="1923"/>
      <c r="E77" s="1923"/>
      <c r="F77" s="1923"/>
    </row>
    <row r="78" spans="1:9" ht="14.25">
      <c r="A78" s="796"/>
      <c r="B78" s="796"/>
      <c r="D78" s="1923"/>
      <c r="E78" s="1923"/>
      <c r="F78" s="1923"/>
    </row>
    <row r="79" spans="1:9" ht="14.25">
      <c r="A79" s="796"/>
      <c r="B79" s="796"/>
      <c r="D79" s="1923"/>
      <c r="E79" s="1923"/>
      <c r="F79" s="1923"/>
    </row>
    <row r="80" spans="1:9" ht="14.25">
      <c r="A80" s="796"/>
      <c r="B80" s="796"/>
      <c r="D80" s="1923"/>
      <c r="E80" s="1923"/>
      <c r="F80" s="1923"/>
    </row>
    <row r="81" spans="1:9" ht="14.25">
      <c r="A81" s="796"/>
      <c r="B81" s="796"/>
      <c r="D81" s="1923"/>
      <c r="E81" s="1923"/>
      <c r="F81" s="1923"/>
    </row>
    <row r="82" spans="1:9" ht="14.25">
      <c r="A82" s="796"/>
      <c r="B82" s="796"/>
      <c r="D82" s="1923"/>
      <c r="E82" s="1923"/>
      <c r="F82" s="1923"/>
    </row>
    <row r="83" spans="1:9" ht="14.25">
      <c r="A83" s="796"/>
      <c r="B83" s="796"/>
      <c r="D83" s="877"/>
      <c r="E83" s="877"/>
      <c r="F83" s="877"/>
    </row>
    <row r="84" spans="1:9" ht="15" customHeight="1">
      <c r="A84" s="796"/>
      <c r="B84" s="797" t="s">
        <v>2589</v>
      </c>
      <c r="D84" s="1923" t="s">
        <v>2241</v>
      </c>
      <c r="E84" s="1923"/>
      <c r="F84" s="1923"/>
      <c r="I84" s="1773" t="s">
        <v>2422</v>
      </c>
    </row>
    <row r="85" spans="1:9" ht="14.25">
      <c r="A85" s="796"/>
      <c r="B85" s="796"/>
      <c r="D85" s="1923"/>
      <c r="E85" s="1923"/>
      <c r="F85" s="1923"/>
    </row>
    <row r="86" spans="1:9" ht="14.25">
      <c r="A86" s="796"/>
      <c r="B86" s="796"/>
      <c r="D86" s="1711"/>
      <c r="E86" s="1711"/>
      <c r="F86" s="1711"/>
    </row>
    <row r="87" spans="1:9" ht="14.25">
      <c r="A87" s="796"/>
      <c r="B87" s="797" t="s">
        <v>2590</v>
      </c>
      <c r="D87" s="1923" t="s">
        <v>2245</v>
      </c>
      <c r="E87" s="1923"/>
      <c r="F87" s="1923"/>
      <c r="I87" s="1773" t="s">
        <v>2423</v>
      </c>
    </row>
    <row r="88" spans="1:9" ht="14.25">
      <c r="A88" s="796"/>
      <c r="B88" s="796"/>
      <c r="D88" s="1923"/>
      <c r="E88" s="1923"/>
      <c r="F88" s="1923"/>
    </row>
    <row r="89" spans="1:9" ht="14.25">
      <c r="A89" s="796"/>
      <c r="B89" s="796"/>
      <c r="D89" s="1923"/>
      <c r="E89" s="1923"/>
      <c r="F89" s="1923"/>
    </row>
    <row r="90" spans="1:9" ht="14.25">
      <c r="A90" s="796"/>
      <c r="B90" s="796"/>
      <c r="D90" s="1711"/>
      <c r="E90" s="1711"/>
      <c r="F90" s="1711"/>
    </row>
    <row r="91" spans="1:9" ht="14.25">
      <c r="A91" s="796"/>
      <c r="B91" s="797" t="s">
        <v>2589</v>
      </c>
      <c r="D91" s="1923" t="s">
        <v>2243</v>
      </c>
      <c r="E91" s="1923"/>
      <c r="F91" s="1923"/>
      <c r="I91" s="1773" t="s">
        <v>2468</v>
      </c>
    </row>
    <row r="92" spans="1:9" s="1728" customFormat="1" ht="14.25">
      <c r="A92" s="1726"/>
      <c r="B92" s="1726"/>
      <c r="C92" s="1727"/>
      <c r="D92" s="1923"/>
      <c r="E92" s="1923"/>
      <c r="F92" s="1923"/>
      <c r="I92" s="1837"/>
    </row>
    <row r="93" spans="1:9" ht="14.25">
      <c r="A93" s="796"/>
      <c r="B93" s="796"/>
      <c r="D93" s="1717"/>
      <c r="E93" s="1718" t="s">
        <v>2244</v>
      </c>
      <c r="F93" s="1711"/>
    </row>
    <row r="94" spans="1:9" ht="14.25">
      <c r="A94" s="796"/>
      <c r="B94" s="796"/>
      <c r="D94" s="877"/>
      <c r="E94" s="877"/>
      <c r="F94" s="877"/>
    </row>
    <row r="95" spans="1:9" ht="14.25">
      <c r="A95" s="796"/>
      <c r="B95" s="797" t="s">
        <v>2590</v>
      </c>
      <c r="D95" s="1923" t="s">
        <v>2242</v>
      </c>
      <c r="E95" s="1923"/>
      <c r="F95" s="1923"/>
      <c r="I95" s="1773" t="s">
        <v>2424</v>
      </c>
    </row>
    <row r="96" spans="1:9" ht="14.25">
      <c r="A96" s="796"/>
      <c r="B96" s="796"/>
      <c r="D96" s="1923"/>
      <c r="E96" s="1923"/>
      <c r="F96" s="1923"/>
    </row>
    <row r="97" spans="1:9" ht="14.25">
      <c r="A97" s="796"/>
      <c r="B97" s="796"/>
      <c r="D97" s="1711"/>
      <c r="E97" s="1711"/>
      <c r="F97" s="1711"/>
    </row>
    <row r="98" spans="1:9" ht="14.65" customHeight="1">
      <c r="A98" s="796"/>
      <c r="B98" s="797" t="s">
        <v>2590</v>
      </c>
      <c r="D98" s="1923" t="s">
        <v>1397</v>
      </c>
      <c r="E98" s="1923"/>
      <c r="F98" s="1923"/>
      <c r="G98" s="789"/>
      <c r="I98" s="1773" t="s">
        <v>2425</v>
      </c>
    </row>
    <row r="99" spans="1:9" ht="14.25">
      <c r="A99" s="796"/>
      <c r="B99" s="796"/>
      <c r="D99" s="1923"/>
      <c r="E99" s="1923"/>
      <c r="F99" s="1923"/>
      <c r="G99" s="789"/>
    </row>
    <row r="100" spans="1:9" ht="14.25">
      <c r="A100" s="796"/>
      <c r="B100" s="796"/>
      <c r="D100" s="1923"/>
      <c r="E100" s="1923"/>
      <c r="F100" s="1923"/>
      <c r="G100" s="789"/>
    </row>
    <row r="101" spans="1:9" ht="14.25">
      <c r="A101" s="796"/>
      <c r="B101" s="796"/>
      <c r="D101" s="1923"/>
      <c r="E101" s="1923"/>
      <c r="F101" s="1923"/>
      <c r="G101" s="789"/>
    </row>
    <row r="102" spans="1:9" ht="14.25">
      <c r="A102" s="796"/>
      <c r="B102" s="796"/>
      <c r="D102" s="1923"/>
      <c r="E102" s="1923"/>
      <c r="F102" s="1923"/>
      <c r="G102" s="789"/>
    </row>
    <row r="103" spans="1:9" ht="14.25">
      <c r="A103" s="796"/>
      <c r="B103" s="796"/>
      <c r="D103" s="1923"/>
      <c r="E103" s="1923"/>
      <c r="F103" s="1923"/>
      <c r="G103" s="789"/>
    </row>
    <row r="104" spans="1:9" ht="14.25">
      <c r="A104" s="796"/>
      <c r="B104" s="796"/>
      <c r="D104" s="1923"/>
      <c r="E104" s="1923"/>
      <c r="F104" s="1923"/>
      <c r="G104" s="789"/>
    </row>
    <row r="105" spans="1:9" ht="14.25">
      <c r="A105" s="796"/>
      <c r="B105" s="796"/>
      <c r="D105" s="1923"/>
      <c r="E105" s="1923"/>
      <c r="F105" s="1923"/>
      <c r="G105" s="789"/>
    </row>
    <row r="106" spans="1:9" ht="14.25">
      <c r="A106" s="796"/>
      <c r="B106" s="796"/>
      <c r="D106" s="1923"/>
      <c r="E106" s="1923"/>
      <c r="F106" s="1923"/>
      <c r="G106" s="789"/>
    </row>
    <row r="107" spans="1:9" ht="14.25">
      <c r="A107" s="796"/>
      <c r="B107" s="796"/>
      <c r="D107" s="1923"/>
      <c r="E107" s="1923"/>
      <c r="F107" s="1923"/>
      <c r="G107" s="789"/>
    </row>
    <row r="108" spans="1:9" ht="14.25">
      <c r="A108" s="796"/>
      <c r="B108" s="796"/>
      <c r="D108" s="1923"/>
      <c r="E108" s="1923"/>
      <c r="F108" s="1923"/>
      <c r="G108" s="789"/>
    </row>
    <row r="109" spans="1:9" ht="14.25">
      <c r="A109" s="796"/>
      <c r="B109" s="796"/>
      <c r="D109" s="1923"/>
      <c r="E109" s="1923"/>
      <c r="F109" s="1923"/>
      <c r="G109" s="789"/>
    </row>
    <row r="110" spans="1:9" ht="14.25">
      <c r="A110" s="796"/>
      <c r="B110" s="796"/>
      <c r="D110" s="1923"/>
      <c r="E110" s="1923"/>
      <c r="F110" s="1923"/>
      <c r="G110" s="789"/>
    </row>
    <row r="111" spans="1:9" ht="14.25">
      <c r="A111" s="796"/>
      <c r="B111" s="796"/>
      <c r="D111" s="1923"/>
      <c r="E111" s="1923"/>
      <c r="F111" s="1923"/>
    </row>
    <row r="112" spans="1:9" ht="14.25">
      <c r="A112" s="796"/>
      <c r="B112" s="796"/>
      <c r="D112" s="1923"/>
      <c r="E112" s="1923"/>
      <c r="F112" s="1923"/>
    </row>
    <row r="113" spans="1:11" ht="14.25">
      <c r="A113" s="796"/>
      <c r="B113" s="796"/>
      <c r="D113" s="903"/>
      <c r="E113" s="903"/>
      <c r="F113" s="903"/>
    </row>
    <row r="114" spans="1:11" ht="14.25" customHeight="1">
      <c r="A114" s="796"/>
      <c r="B114" s="797" t="s">
        <v>2590</v>
      </c>
      <c r="D114" s="1921" t="s">
        <v>1259</v>
      </c>
      <c r="E114" s="1921"/>
      <c r="F114" s="1921"/>
    </row>
    <row r="115" spans="1:11" ht="14.25">
      <c r="A115" s="796"/>
      <c r="B115" s="796"/>
      <c r="D115" s="1921"/>
      <c r="E115" s="1921"/>
      <c r="F115" s="1921"/>
    </row>
    <row r="116" spans="1:11" ht="14.25">
      <c r="A116" s="796"/>
      <c r="B116" s="796"/>
      <c r="D116" s="1921"/>
      <c r="E116" s="1921"/>
      <c r="F116" s="1921"/>
    </row>
    <row r="117" spans="1:11" ht="14.25">
      <c r="A117" s="796"/>
      <c r="B117" s="796"/>
      <c r="D117" s="1921"/>
      <c r="E117" s="1921"/>
      <c r="F117" s="1921"/>
    </row>
    <row r="118" spans="1:11" ht="14.25">
      <c r="A118" s="796"/>
      <c r="B118" s="796"/>
      <c r="D118" s="1921"/>
      <c r="E118" s="1921"/>
      <c r="F118" s="1921"/>
    </row>
    <row r="119" spans="1:11" ht="14.25">
      <c r="A119" s="796"/>
      <c r="B119" s="796"/>
      <c r="D119" s="1921"/>
      <c r="E119" s="1921"/>
      <c r="F119" s="1921"/>
    </row>
    <row r="120" spans="1:11" ht="14.25">
      <c r="A120" s="796"/>
      <c r="B120" s="796"/>
      <c r="D120" s="1921"/>
      <c r="E120" s="1921"/>
      <c r="F120" s="1921"/>
    </row>
    <row r="121" spans="1:11" ht="14.25">
      <c r="A121" s="796"/>
      <c r="B121" s="796"/>
      <c r="D121" s="1921"/>
      <c r="E121" s="1921"/>
      <c r="F121" s="1921"/>
    </row>
    <row r="122" spans="1:11">
      <c r="C122" s="721"/>
      <c r="D122" s="904"/>
      <c r="E122" s="904"/>
      <c r="F122" s="904"/>
      <c r="G122" s="721"/>
      <c r="H122" s="721"/>
      <c r="I122" s="621"/>
      <c r="J122" s="721"/>
      <c r="K122" s="721"/>
    </row>
    <row r="123" spans="1:11" ht="14.25">
      <c r="A123" s="796"/>
      <c r="B123" s="797" t="s">
        <v>2589</v>
      </c>
      <c r="C123" s="721"/>
      <c r="D123" s="1921" t="s">
        <v>1261</v>
      </c>
      <c r="E123" s="1921"/>
      <c r="F123" s="1921"/>
      <c r="G123" s="721"/>
      <c r="H123" s="721"/>
      <c r="I123" s="621" t="s">
        <v>2426</v>
      </c>
      <c r="J123" s="721"/>
      <c r="K123" s="721"/>
    </row>
    <row r="124" spans="1:11" ht="14.25">
      <c r="A124" s="796"/>
      <c r="B124" s="796"/>
      <c r="C124" s="721"/>
      <c r="D124" s="1921"/>
      <c r="E124" s="1921"/>
      <c r="F124" s="1921"/>
      <c r="G124" s="721"/>
      <c r="H124" s="721"/>
      <c r="I124" s="621"/>
      <c r="J124" s="721"/>
      <c r="K124" s="721"/>
    </row>
    <row r="125" spans="1:11"/>
    <row r="126" spans="1:11" ht="14.25">
      <c r="A126" s="796"/>
      <c r="B126" s="797" t="s">
        <v>2589</v>
      </c>
      <c r="C126" s="803"/>
      <c r="D126" s="1923" t="s">
        <v>1262</v>
      </c>
      <c r="E126" s="1923"/>
      <c r="F126" s="1923"/>
      <c r="I126" s="621" t="s">
        <v>2426</v>
      </c>
    </row>
    <row r="127" spans="1:11">
      <c r="C127" s="803"/>
      <c r="D127" s="1923"/>
      <c r="E127" s="1923"/>
      <c r="F127" s="1923"/>
    </row>
    <row r="128" spans="1:11">
      <c r="C128" s="803"/>
      <c r="D128" s="1923"/>
      <c r="E128" s="1923"/>
      <c r="F128" s="1923"/>
    </row>
    <row r="129" spans="1:9">
      <c r="C129" s="803"/>
      <c r="D129" s="1923"/>
      <c r="E129" s="1923"/>
      <c r="F129" s="1923"/>
    </row>
    <row r="130" spans="1:9">
      <c r="C130" s="803"/>
      <c r="D130" s="1923"/>
      <c r="E130" s="1923"/>
      <c r="F130" s="1923"/>
    </row>
    <row r="131" spans="1:9">
      <c r="C131" s="803"/>
      <c r="D131" s="671"/>
      <c r="E131" s="671"/>
      <c r="F131" s="671"/>
    </row>
    <row r="132" spans="1:9" s="721" customFormat="1" ht="14.25">
      <c r="A132" s="796"/>
      <c r="B132" s="797" t="s">
        <v>2589</v>
      </c>
      <c r="C132" s="803"/>
      <c r="D132" s="1880" t="s">
        <v>1263</v>
      </c>
      <c r="E132" s="1880"/>
      <c r="F132" s="1880"/>
      <c r="G132" s="671"/>
      <c r="I132" s="621" t="s">
        <v>2427</v>
      </c>
    </row>
    <row r="133" spans="1:9" s="811" customFormat="1" ht="13.9" customHeight="1">
      <c r="A133" s="808"/>
      <c r="B133" s="808"/>
      <c r="C133" s="809"/>
      <c r="D133" s="1880"/>
      <c r="E133" s="1880"/>
      <c r="F133" s="1880"/>
      <c r="G133" s="810"/>
      <c r="I133" s="1838"/>
    </row>
    <row r="134" spans="1:9" s="721" customFormat="1" ht="13.9" customHeight="1">
      <c r="A134" s="787"/>
      <c r="B134" s="787"/>
      <c r="C134" s="803"/>
      <c r="D134" s="1880"/>
      <c r="E134" s="1880"/>
      <c r="F134" s="1880"/>
      <c r="G134" s="671"/>
      <c r="I134" s="621"/>
    </row>
    <row r="135" spans="1:9" s="721" customFormat="1" ht="13.9" customHeight="1">
      <c r="A135" s="787"/>
      <c r="B135" s="787"/>
      <c r="C135" s="803"/>
      <c r="D135" s="1880"/>
      <c r="E135" s="1880"/>
      <c r="F135" s="1880"/>
      <c r="G135" s="671"/>
      <c r="I135" s="621"/>
    </row>
    <row r="136" spans="1:9" s="721" customFormat="1" ht="13.9" customHeight="1">
      <c r="A136" s="787"/>
      <c r="B136" s="787"/>
      <c r="C136" s="803"/>
      <c r="D136" s="1880"/>
      <c r="E136" s="1880"/>
      <c r="F136" s="1880"/>
      <c r="G136" s="671"/>
      <c r="I136" s="621"/>
    </row>
    <row r="137" spans="1:9" s="721" customFormat="1" ht="13.9" customHeight="1">
      <c r="A137" s="812"/>
      <c r="B137" s="812"/>
      <c r="C137" s="803"/>
      <c r="D137" s="1880"/>
      <c r="E137" s="1880"/>
      <c r="F137" s="1880"/>
      <c r="G137" s="671"/>
      <c r="I137" s="621"/>
    </row>
    <row r="138" spans="1:9" s="617" customFormat="1" ht="13.9" customHeight="1">
      <c r="A138" s="800"/>
      <c r="B138" s="800"/>
      <c r="C138" s="805"/>
      <c r="D138" s="1880"/>
      <c r="E138" s="1880"/>
      <c r="F138" s="1880"/>
      <c r="G138" s="692"/>
      <c r="I138" s="641"/>
    </row>
    <row r="139" spans="1:9" s="617" customFormat="1" ht="13.9" customHeight="1">
      <c r="A139" s="800"/>
      <c r="B139" s="800"/>
      <c r="C139" s="805"/>
      <c r="D139" s="1880"/>
      <c r="E139" s="1880"/>
      <c r="F139" s="1880"/>
      <c r="G139" s="692"/>
      <c r="I139" s="641"/>
    </row>
    <row r="140" spans="1:9" s="721" customFormat="1" ht="13.9" customHeight="1">
      <c r="A140" s="787"/>
      <c r="B140" s="787"/>
      <c r="C140" s="803"/>
      <c r="D140" s="1880"/>
      <c r="E140" s="1880"/>
      <c r="F140" s="1880"/>
      <c r="G140" s="671"/>
      <c r="I140" s="621"/>
    </row>
    <row r="141" spans="1:9" s="721" customFormat="1" ht="13.9" customHeight="1">
      <c r="A141" s="787"/>
      <c r="B141" s="787"/>
      <c r="C141" s="803"/>
      <c r="D141" s="1880"/>
      <c r="E141" s="1880"/>
      <c r="F141" s="1880"/>
      <c r="G141" s="671"/>
      <c r="I141" s="621"/>
    </row>
    <row r="142" spans="1:9" s="721" customFormat="1" ht="13.9" customHeight="1">
      <c r="A142" s="787"/>
      <c r="B142" s="787"/>
      <c r="C142" s="803"/>
      <c r="D142" s="1880"/>
      <c r="E142" s="1880"/>
      <c r="F142" s="1880"/>
      <c r="G142" s="671"/>
      <c r="I142" s="621"/>
    </row>
    <row r="143" spans="1:9" s="721" customFormat="1" ht="13.9" customHeight="1">
      <c r="A143" s="787"/>
      <c r="B143" s="787"/>
      <c r="C143" s="803"/>
      <c r="D143" s="1880"/>
      <c r="E143" s="1880"/>
      <c r="F143" s="1880"/>
      <c r="G143" s="671"/>
      <c r="I143" s="621"/>
    </row>
    <row r="144" spans="1:9" s="721" customFormat="1" ht="13.9" customHeight="1">
      <c r="A144" s="787"/>
      <c r="B144" s="787"/>
      <c r="C144" s="803"/>
      <c r="D144" s="795"/>
      <c r="E144" s="784"/>
      <c r="F144" s="784"/>
      <c r="G144" s="671"/>
      <c r="I144" s="621"/>
    </row>
    <row r="145" spans="1:9" s="721" customFormat="1" ht="13.9" customHeight="1">
      <c r="A145" s="787"/>
      <c r="B145" s="797" t="s">
        <v>2590</v>
      </c>
      <c r="C145" s="803"/>
      <c r="D145" s="1965" t="s">
        <v>1371</v>
      </c>
      <c r="E145" s="1965"/>
      <c r="F145" s="1965"/>
      <c r="G145" s="671"/>
      <c r="I145" s="621" t="s">
        <v>2428</v>
      </c>
    </row>
    <row r="146" spans="1:9" s="721" customFormat="1" ht="13.9" customHeight="1">
      <c r="A146" s="787"/>
      <c r="B146" s="787"/>
      <c r="C146" s="803"/>
      <c r="D146" s="1965"/>
      <c r="E146" s="1965"/>
      <c r="F146" s="1965"/>
      <c r="G146" s="671"/>
      <c r="I146" s="621"/>
    </row>
    <row r="147" spans="1:9" s="721" customFormat="1" ht="13.9" customHeight="1">
      <c r="A147" s="787"/>
      <c r="B147" s="787"/>
      <c r="C147" s="803"/>
      <c r="D147" s="1965"/>
      <c r="E147" s="1965"/>
      <c r="F147" s="1965"/>
      <c r="G147" s="671"/>
      <c r="I147" s="621"/>
    </row>
    <row r="148" spans="1:9" s="721" customFormat="1" ht="13.9" customHeight="1">
      <c r="A148" s="787"/>
      <c r="B148" s="787"/>
      <c r="C148" s="803"/>
      <c r="D148" s="1965"/>
      <c r="E148" s="1965"/>
      <c r="F148" s="1965"/>
      <c r="G148" s="671"/>
      <c r="I148" s="621"/>
    </row>
    <row r="149" spans="1:9" s="721" customFormat="1" ht="13.9" customHeight="1">
      <c r="A149" s="787"/>
      <c r="B149" s="787"/>
      <c r="C149" s="803"/>
      <c r="D149" s="1965"/>
      <c r="E149" s="1965"/>
      <c r="F149" s="1965"/>
      <c r="G149" s="671"/>
      <c r="I149" s="621"/>
    </row>
    <row r="150" spans="1:9" s="721" customFormat="1" ht="13.9" customHeight="1">
      <c r="A150" s="787"/>
      <c r="B150" s="787"/>
      <c r="C150" s="803"/>
      <c r="D150" s="1965"/>
      <c r="E150" s="1965"/>
      <c r="F150" s="1965"/>
      <c r="G150" s="671"/>
      <c r="I150" s="621"/>
    </row>
    <row r="151" spans="1:9" s="721" customFormat="1" ht="13.9" customHeight="1">
      <c r="A151" s="787"/>
      <c r="B151" s="787"/>
      <c r="C151" s="803"/>
      <c r="D151" s="1965"/>
      <c r="E151" s="1965"/>
      <c r="F151" s="1965"/>
      <c r="G151" s="671"/>
      <c r="I151" s="621"/>
    </row>
    <row r="152" spans="1:9" s="721" customFormat="1" ht="13.9" customHeight="1">
      <c r="A152" s="787"/>
      <c r="B152" s="787"/>
      <c r="C152" s="803"/>
      <c r="D152" s="1965"/>
      <c r="E152" s="1965"/>
      <c r="F152" s="1965"/>
      <c r="G152" s="671"/>
      <c r="I152" s="621"/>
    </row>
    <row r="153" spans="1:9" s="721" customFormat="1" ht="13.9" customHeight="1">
      <c r="A153" s="787"/>
      <c r="B153" s="787"/>
      <c r="C153" s="803"/>
      <c r="D153" s="1965"/>
      <c r="E153" s="1965"/>
      <c r="F153" s="1965"/>
      <c r="G153" s="671"/>
      <c r="I153" s="621"/>
    </row>
    <row r="154" spans="1:9" s="721" customFormat="1" ht="13.9" customHeight="1">
      <c r="A154" s="787"/>
      <c r="B154" s="787"/>
      <c r="C154" s="803"/>
      <c r="D154" s="1965"/>
      <c r="E154" s="1965"/>
      <c r="F154" s="1965"/>
      <c r="G154" s="671"/>
      <c r="I154" s="621"/>
    </row>
    <row r="155" spans="1:9" s="721" customFormat="1" ht="13.9" customHeight="1">
      <c r="A155" s="787"/>
      <c r="B155" s="787"/>
      <c r="C155" s="803"/>
      <c r="D155" s="1965"/>
      <c r="E155" s="1965"/>
      <c r="F155" s="1965"/>
      <c r="G155" s="671"/>
      <c r="I155" s="621"/>
    </row>
    <row r="156" spans="1:9" s="721" customFormat="1" ht="13.9" customHeight="1">
      <c r="A156" s="787"/>
      <c r="B156" s="787"/>
      <c r="C156" s="803"/>
      <c r="D156" s="1965"/>
      <c r="E156" s="1965"/>
      <c r="F156" s="1965"/>
      <c r="G156" s="671"/>
      <c r="I156" s="621"/>
    </row>
    <row r="157" spans="1:9" s="721" customFormat="1" ht="13.9" customHeight="1">
      <c r="A157" s="787"/>
      <c r="B157" s="787"/>
      <c r="C157" s="803"/>
      <c r="D157" s="1965"/>
      <c r="E157" s="1965"/>
      <c r="F157" s="1965"/>
      <c r="G157" s="671"/>
      <c r="I157" s="621"/>
    </row>
    <row r="158" spans="1:9" s="721" customFormat="1" ht="13.9" customHeight="1">
      <c r="A158" s="787"/>
      <c r="B158" s="787"/>
      <c r="C158" s="803"/>
      <c r="D158" s="1965"/>
      <c r="E158" s="1965"/>
      <c r="F158" s="1965"/>
      <c r="G158" s="671"/>
      <c r="I158" s="621"/>
    </row>
    <row r="159" spans="1:9" s="721" customFormat="1" ht="13.9" customHeight="1">
      <c r="A159" s="787"/>
      <c r="B159" s="787"/>
      <c r="C159" s="803"/>
      <c r="D159" s="1965"/>
      <c r="E159" s="1965"/>
      <c r="F159" s="1965"/>
      <c r="G159" s="671"/>
      <c r="I159" s="621"/>
    </row>
    <row r="160" spans="1:9" s="721" customFormat="1" ht="13.9" customHeight="1">
      <c r="A160" s="787"/>
      <c r="B160" s="787"/>
      <c r="C160" s="803"/>
      <c r="D160" s="1965"/>
      <c r="E160" s="1965"/>
      <c r="F160" s="1965"/>
      <c r="G160" s="671"/>
      <c r="I160" s="621"/>
    </row>
    <row r="161" spans="1:9" s="721" customFormat="1" ht="13.9" customHeight="1">
      <c r="A161" s="787"/>
      <c r="B161" s="787"/>
      <c r="C161" s="803"/>
      <c r="D161" s="1965"/>
      <c r="E161" s="1965"/>
      <c r="F161" s="1965"/>
      <c r="G161" s="671"/>
      <c r="I161" s="621"/>
    </row>
    <row r="162" spans="1:9" s="721" customFormat="1" ht="13.9" customHeight="1">
      <c r="A162" s="787"/>
      <c r="B162" s="787"/>
      <c r="C162" s="803"/>
      <c r="D162" s="1965"/>
      <c r="E162" s="1965"/>
      <c r="F162" s="1965"/>
      <c r="G162" s="671"/>
      <c r="I162" s="621"/>
    </row>
    <row r="163" spans="1:9" s="721" customFormat="1" ht="13.9" customHeight="1">
      <c r="A163" s="787"/>
      <c r="B163" s="787"/>
      <c r="C163" s="803"/>
      <c r="D163" s="1986" t="s">
        <v>1405</v>
      </c>
      <c r="E163" s="1986"/>
      <c r="F163" s="1986"/>
      <c r="G163" s="855"/>
      <c r="I163" s="621"/>
    </row>
    <row r="164" spans="1:9" s="721" customFormat="1" ht="13.9" customHeight="1">
      <c r="A164" s="787"/>
      <c r="B164" s="787"/>
      <c r="C164" s="803"/>
      <c r="D164" s="1985"/>
      <c r="E164" s="1985"/>
      <c r="F164" s="1985"/>
      <c r="G164" s="1985"/>
      <c r="I164" s="621"/>
    </row>
    <row r="165" spans="1:9" s="721" customFormat="1" ht="14.65" customHeight="1">
      <c r="A165" s="812"/>
      <c r="B165" s="797" t="s">
        <v>2590</v>
      </c>
      <c r="C165" s="813"/>
      <c r="D165" s="1922" t="s">
        <v>1433</v>
      </c>
      <c r="E165" s="1922"/>
      <c r="F165" s="1922"/>
      <c r="G165" s="814"/>
      <c r="I165" s="621" t="s">
        <v>2423</v>
      </c>
    </row>
    <row r="166" spans="1:9" s="721" customFormat="1" ht="14.65" customHeight="1">
      <c r="A166" s="812"/>
      <c r="B166" s="812"/>
      <c r="C166" s="813"/>
      <c r="D166" s="1922"/>
      <c r="E166" s="1922"/>
      <c r="F166" s="1922"/>
      <c r="G166" s="814"/>
      <c r="I166" s="621"/>
    </row>
    <row r="167" spans="1:9" s="721" customFormat="1" ht="13.9" customHeight="1">
      <c r="A167" s="812"/>
      <c r="B167" s="812"/>
      <c r="C167" s="813"/>
      <c r="D167" s="1922"/>
      <c r="E167" s="1922"/>
      <c r="F167" s="1922"/>
      <c r="G167" s="814"/>
      <c r="I167" s="621"/>
    </row>
    <row r="168" spans="1:9" s="721" customFormat="1" ht="13.9" customHeight="1">
      <c r="A168" s="812"/>
      <c r="B168" s="812"/>
      <c r="C168" s="813"/>
      <c r="D168" s="795"/>
      <c r="E168" s="813"/>
      <c r="F168" s="813"/>
      <c r="G168" s="814"/>
      <c r="I168" s="621"/>
    </row>
    <row r="169" spans="1:9" s="721" customFormat="1" ht="13.9" customHeight="1">
      <c r="A169" s="812"/>
      <c r="B169" s="797" t="s">
        <v>2590</v>
      </c>
      <c r="C169" s="813"/>
      <c r="D169" s="1865" t="s">
        <v>1265</v>
      </c>
      <c r="E169" s="1865"/>
      <c r="F169" s="1865"/>
      <c r="G169" s="814"/>
      <c r="I169" s="621" t="s">
        <v>2429</v>
      </c>
    </row>
    <row r="170" spans="1:9" s="721" customFormat="1" ht="13.9" customHeight="1">
      <c r="A170" s="812"/>
      <c r="B170" s="812"/>
      <c r="C170" s="813"/>
      <c r="D170" s="1865"/>
      <c r="E170" s="1865"/>
      <c r="F170" s="1865"/>
      <c r="G170" s="814"/>
      <c r="I170" s="621"/>
    </row>
    <row r="171" spans="1:9" s="721" customFormat="1" ht="13.9" customHeight="1">
      <c r="A171" s="812"/>
      <c r="B171" s="812"/>
      <c r="C171" s="813"/>
      <c r="D171" s="1865"/>
      <c r="E171" s="1865"/>
      <c r="F171" s="1865"/>
      <c r="G171" s="814"/>
      <c r="I171" s="621"/>
    </row>
    <row r="172" spans="1:9" s="721" customFormat="1" ht="13.9" customHeight="1">
      <c r="A172" s="812"/>
      <c r="B172" s="812"/>
      <c r="C172" s="813"/>
      <c r="D172" s="1865"/>
      <c r="E172" s="1865"/>
      <c r="F172" s="1865"/>
      <c r="G172" s="814"/>
      <c r="I172" s="621"/>
    </row>
    <row r="173" spans="1:9" s="721" customFormat="1" ht="13.9" customHeight="1">
      <c r="A173" s="787"/>
      <c r="B173" s="787"/>
      <c r="C173" s="803"/>
      <c r="D173" s="784"/>
      <c r="E173" s="784"/>
      <c r="F173" s="784"/>
      <c r="G173" s="671"/>
      <c r="I173" s="621"/>
    </row>
    <row r="174" spans="1:9" s="721" customFormat="1" ht="13.9" customHeight="1">
      <c r="A174" s="787"/>
      <c r="B174" s="797" t="s">
        <v>2590</v>
      </c>
      <c r="C174" s="803"/>
      <c r="D174" s="1910" t="s">
        <v>1266</v>
      </c>
      <c r="E174" s="1910"/>
      <c r="F174" s="1910"/>
      <c r="G174" s="671"/>
      <c r="I174" s="621" t="s">
        <v>2430</v>
      </c>
    </row>
    <row r="175" spans="1:9" s="721" customFormat="1" ht="13.9" customHeight="1">
      <c r="A175" s="787"/>
      <c r="B175" s="787"/>
      <c r="C175" s="803"/>
      <c r="D175" s="1910"/>
      <c r="E175" s="1910"/>
      <c r="F175" s="1910"/>
      <c r="G175" s="671"/>
      <c r="I175" s="621"/>
    </row>
    <row r="176" spans="1:9" s="721" customFormat="1" ht="13.9" customHeight="1">
      <c r="A176" s="787"/>
      <c r="B176" s="787"/>
      <c r="C176" s="803"/>
      <c r="D176" s="1910"/>
      <c r="E176" s="1910"/>
      <c r="F176" s="1910"/>
      <c r="G176" s="671"/>
      <c r="I176" s="621"/>
    </row>
    <row r="177" spans="1:9" s="721" customFormat="1" ht="13.9" customHeight="1">
      <c r="A177" s="815"/>
      <c r="B177" s="815"/>
      <c r="C177" s="803"/>
      <c r="D177" s="788"/>
      <c r="E177" s="784"/>
      <c r="F177" s="784"/>
      <c r="G177" s="671"/>
      <c r="I177" s="621"/>
    </row>
    <row r="178" spans="1:9">
      <c r="A178" s="1888" t="s">
        <v>2405</v>
      </c>
      <c r="B178" s="1888"/>
      <c r="C178" s="1888"/>
      <c r="D178" s="1888"/>
      <c r="E178" s="1888"/>
      <c r="F178" s="1888"/>
      <c r="G178" s="1888"/>
      <c r="H178" s="1852"/>
      <c r="I178" s="1853"/>
    </row>
    <row r="179" spans="1:9" ht="12" customHeight="1">
      <c r="D179" s="799"/>
      <c r="E179" s="799"/>
      <c r="F179" s="799"/>
    </row>
    <row r="180" spans="1:9">
      <c r="B180" s="1960" t="s">
        <v>469</v>
      </c>
      <c r="C180" s="1960"/>
      <c r="D180" s="1960"/>
      <c r="E180" s="1960"/>
      <c r="F180" s="1960"/>
    </row>
    <row r="181" spans="1:9" s="1771" customFormat="1">
      <c r="A181" s="787"/>
      <c r="B181" s="1830" t="s">
        <v>2406</v>
      </c>
      <c r="C181" s="1830"/>
      <c r="D181" s="1830"/>
      <c r="E181" s="1830"/>
      <c r="F181" s="1830"/>
      <c r="G181" s="1770"/>
      <c r="I181" s="1773"/>
    </row>
    <row r="182" spans="1:9" ht="12" customHeight="1">
      <c r="A182" s="792"/>
      <c r="B182" s="792"/>
      <c r="C182" s="792"/>
    </row>
    <row r="183" spans="1:9">
      <c r="A183" s="1888" t="s">
        <v>1161</v>
      </c>
      <c r="B183" s="1888"/>
      <c r="C183" s="1888"/>
      <c r="D183" s="1888"/>
      <c r="E183" s="1888"/>
      <c r="F183" s="1888"/>
      <c r="G183" s="1888"/>
      <c r="H183" s="1852"/>
      <c r="I183" s="1853"/>
    </row>
    <row r="184" spans="1:9" ht="12" customHeight="1">
      <c r="A184" s="816"/>
      <c r="B184" s="816"/>
      <c r="C184" s="817"/>
      <c r="D184" s="818"/>
      <c r="E184" s="819"/>
      <c r="F184" s="818"/>
      <c r="G184" s="818"/>
    </row>
    <row r="185" spans="1:9" ht="13.9" customHeight="1">
      <c r="A185" s="816"/>
      <c r="B185" s="816"/>
      <c r="C185" s="817"/>
      <c r="D185" s="1924" t="s">
        <v>2246</v>
      </c>
      <c r="E185" s="1924"/>
      <c r="F185" s="1924"/>
      <c r="G185" s="818"/>
    </row>
    <row r="186" spans="1:9">
      <c r="A186" s="816"/>
      <c r="B186" s="816"/>
      <c r="C186" s="817"/>
      <c r="D186" s="1924"/>
      <c r="E186" s="1924"/>
      <c r="F186" s="1924"/>
      <c r="G186" s="818"/>
    </row>
    <row r="187" spans="1:9">
      <c r="A187" s="816"/>
      <c r="B187" s="816"/>
      <c r="C187" s="817"/>
      <c r="D187" s="1925" t="s">
        <v>1398</v>
      </c>
      <c r="E187" s="1925"/>
      <c r="F187" s="1925"/>
      <c r="G187" s="818"/>
    </row>
    <row r="188" spans="1:9">
      <c r="A188" s="816"/>
      <c r="B188" s="816"/>
      <c r="C188" s="817"/>
      <c r="D188" s="1712"/>
      <c r="E188" s="1712"/>
      <c r="F188" s="1712"/>
      <c r="G188" s="818"/>
    </row>
    <row r="189" spans="1:9">
      <c r="A189" s="816"/>
      <c r="B189" s="797" t="s">
        <v>2589</v>
      </c>
      <c r="C189" s="817"/>
      <c r="D189" s="1887" t="s">
        <v>2247</v>
      </c>
      <c r="E189" s="1887"/>
      <c r="F189" s="1887"/>
      <c r="G189" s="818"/>
      <c r="I189" s="1773" t="s">
        <v>2479</v>
      </c>
    </row>
    <row r="190" spans="1:9">
      <c r="A190" s="816"/>
      <c r="B190" s="816"/>
      <c r="C190" s="817"/>
      <c r="D190" s="1891" t="s">
        <v>2248</v>
      </c>
      <c r="E190" s="1891"/>
      <c r="F190" s="1891"/>
      <c r="G190" s="818"/>
    </row>
    <row r="191" spans="1:9">
      <c r="A191" s="816"/>
      <c r="B191" s="816"/>
      <c r="C191" s="817"/>
      <c r="D191" s="1729" t="s">
        <v>2249</v>
      </c>
      <c r="E191" s="1978" t="s">
        <v>2250</v>
      </c>
      <c r="F191" s="1978"/>
      <c r="G191" s="818"/>
    </row>
    <row r="192" spans="1:9">
      <c r="A192" s="816"/>
      <c r="B192" s="816"/>
      <c r="C192" s="817"/>
      <c r="D192" s="155"/>
      <c r="E192" s="155"/>
      <c r="F192" s="155"/>
      <c r="G192" s="818"/>
    </row>
    <row r="193" spans="1:9">
      <c r="A193" s="816"/>
      <c r="B193" s="797" t="s">
        <v>2590</v>
      </c>
      <c r="C193" s="817"/>
      <c r="D193" s="1891" t="s">
        <v>2251</v>
      </c>
      <c r="E193" s="1891"/>
      <c r="F193" s="1891"/>
      <c r="G193" s="818"/>
      <c r="I193" s="1773" t="s">
        <v>2480</v>
      </c>
    </row>
    <row r="194" spans="1:9">
      <c r="A194" s="816"/>
      <c r="B194" s="816"/>
      <c r="C194" s="817"/>
      <c r="D194" s="1887" t="s">
        <v>2248</v>
      </c>
      <c r="E194" s="1887"/>
      <c r="F194" s="1887"/>
      <c r="G194" s="818"/>
    </row>
    <row r="195" spans="1:9">
      <c r="A195" s="816"/>
      <c r="B195" s="816"/>
      <c r="C195" s="817"/>
      <c r="D195" s="1710" t="s">
        <v>2252</v>
      </c>
      <c r="E195" s="1983" t="s">
        <v>2253</v>
      </c>
      <c r="F195" s="1983"/>
      <c r="G195" s="818"/>
    </row>
    <row r="196" spans="1:9">
      <c r="A196" s="816"/>
      <c r="B196" s="816"/>
      <c r="C196" s="817"/>
      <c r="D196" s="155"/>
      <c r="E196" s="155"/>
      <c r="F196" s="155"/>
      <c r="G196" s="818"/>
    </row>
    <row r="197" spans="1:9">
      <c r="A197" s="816"/>
      <c r="B197" s="797" t="s">
        <v>2590</v>
      </c>
      <c r="C197" s="817"/>
      <c r="D197" s="1891" t="s">
        <v>2254</v>
      </c>
      <c r="E197" s="1891"/>
      <c r="F197" s="1891"/>
      <c r="G197" s="818"/>
      <c r="I197" s="1773" t="s">
        <v>2481</v>
      </c>
    </row>
    <row r="198" spans="1:9">
      <c r="A198" s="816"/>
      <c r="B198" s="816"/>
      <c r="C198" s="817"/>
      <c r="D198" s="1707" t="s">
        <v>2248</v>
      </c>
      <c r="E198" s="155"/>
      <c r="F198" s="155"/>
      <c r="G198" s="818"/>
    </row>
    <row r="199" spans="1:9">
      <c r="A199" s="816"/>
      <c r="B199" s="816"/>
      <c r="C199" s="817"/>
      <c r="D199" s="1710" t="s">
        <v>2249</v>
      </c>
      <c r="E199" s="1983" t="s">
        <v>2255</v>
      </c>
      <c r="F199" s="1983"/>
      <c r="G199" s="818"/>
    </row>
    <row r="200" spans="1:9">
      <c r="A200" s="816"/>
      <c r="B200" s="816"/>
      <c r="C200" s="817"/>
      <c r="D200" s="1712"/>
      <c r="E200" s="1712"/>
      <c r="F200" s="1712"/>
      <c r="G200" s="818"/>
    </row>
    <row r="201" spans="1:9" ht="14.25">
      <c r="A201" s="796"/>
      <c r="B201" s="797" t="s">
        <v>2590</v>
      </c>
      <c r="C201" s="817"/>
      <c r="D201" s="1923" t="s">
        <v>2256</v>
      </c>
      <c r="E201" s="1923"/>
      <c r="F201" s="1923"/>
      <c r="G201" s="818"/>
      <c r="I201" s="1773" t="s">
        <v>2482</v>
      </c>
    </row>
    <row r="202" spans="1:9" ht="14.25">
      <c r="A202" s="796"/>
      <c r="B202" s="796"/>
      <c r="C202" s="817"/>
      <c r="D202" s="1923"/>
      <c r="E202" s="1923"/>
      <c r="F202" s="1923"/>
      <c r="G202" s="818"/>
    </row>
    <row r="203" spans="1:9">
      <c r="A203" s="817"/>
      <c r="B203" s="817"/>
      <c r="C203" s="817"/>
      <c r="D203" s="1923"/>
      <c r="E203" s="1923"/>
      <c r="F203" s="1923"/>
    </row>
    <row r="204" spans="1:9">
      <c r="A204" s="817"/>
      <c r="B204" s="817"/>
      <c r="C204" s="817"/>
      <c r="D204" s="802"/>
      <c r="E204" s="818"/>
      <c r="F204" s="818"/>
    </row>
    <row r="205" spans="1:9">
      <c r="A205" s="817"/>
      <c r="B205" s="797" t="s">
        <v>2590</v>
      </c>
      <c r="C205" s="817"/>
      <c r="D205" s="1891" t="s">
        <v>2257</v>
      </c>
      <c r="E205" s="1891"/>
      <c r="F205" s="1891"/>
      <c r="I205" s="1773" t="s">
        <v>2483</v>
      </c>
    </row>
    <row r="206" spans="1:9">
      <c r="A206" s="817"/>
      <c r="B206" s="817"/>
      <c r="C206" s="817"/>
      <c r="D206" s="1891" t="s">
        <v>2248</v>
      </c>
      <c r="E206" s="1891"/>
      <c r="F206" s="1891"/>
    </row>
    <row r="207" spans="1:9">
      <c r="A207" s="817"/>
      <c r="B207" s="817"/>
      <c r="C207" s="817"/>
      <c r="D207" s="1710" t="s">
        <v>2249</v>
      </c>
      <c r="E207" s="1983" t="s">
        <v>2258</v>
      </c>
      <c r="F207" s="1983"/>
    </row>
    <row r="208" spans="1:9">
      <c r="A208" s="817"/>
      <c r="B208" s="817"/>
      <c r="C208" s="817"/>
      <c r="D208" s="778"/>
      <c r="E208" s="778"/>
      <c r="F208" s="778"/>
    </row>
    <row r="209" spans="1:9" s="617" customFormat="1" ht="14.25">
      <c r="A209" s="796"/>
      <c r="B209" s="797" t="s">
        <v>2590</v>
      </c>
      <c r="C209" s="805"/>
      <c r="D209" s="1923" t="s">
        <v>1424</v>
      </c>
      <c r="E209" s="1923"/>
      <c r="F209" s="1923"/>
      <c r="G209" s="692"/>
      <c r="I209" s="641"/>
    </row>
    <row r="210" spans="1:9" s="617" customFormat="1" ht="14.65" customHeight="1">
      <c r="A210" s="796"/>
      <c r="C210" s="805"/>
      <c r="D210" s="1923"/>
      <c r="E210" s="1923"/>
      <c r="F210" s="1923"/>
      <c r="G210" s="692"/>
      <c r="I210" s="641"/>
    </row>
    <row r="211" spans="1:9" s="617" customFormat="1" ht="14.25">
      <c r="A211" s="796"/>
      <c r="B211" s="817"/>
      <c r="C211" s="805"/>
      <c r="D211" s="1923"/>
      <c r="E211" s="1923"/>
      <c r="F211" s="1923"/>
      <c r="G211" s="692"/>
      <c r="I211" s="641"/>
    </row>
    <row r="212" spans="1:9" s="617" customFormat="1" ht="14.25">
      <c r="A212" s="796"/>
      <c r="B212" s="817"/>
      <c r="C212" s="805"/>
      <c r="D212" s="1923"/>
      <c r="E212" s="1923"/>
      <c r="F212" s="1923"/>
      <c r="G212" s="692"/>
      <c r="I212" s="641"/>
    </row>
    <row r="213" spans="1:9">
      <c r="A213" s="817"/>
      <c r="B213" s="817"/>
      <c r="C213" s="817"/>
      <c r="D213" s="778"/>
      <c r="E213" s="778"/>
      <c r="F213" s="778"/>
    </row>
    <row r="214" spans="1:9">
      <c r="A214" s="1888" t="s">
        <v>1162</v>
      </c>
      <c r="B214" s="1888"/>
      <c r="C214" s="1888"/>
      <c r="D214" s="1888"/>
      <c r="E214" s="1888"/>
      <c r="F214" s="1888"/>
      <c r="G214" s="1888"/>
      <c r="H214" s="1852"/>
      <c r="I214" s="1853"/>
    </row>
    <row r="215" spans="1:9" ht="12" customHeight="1">
      <c r="D215" s="799"/>
      <c r="E215" s="799"/>
      <c r="F215" s="799"/>
    </row>
    <row r="216" spans="1:9">
      <c r="C216" s="806"/>
      <c r="D216" s="1982" t="s">
        <v>213</v>
      </c>
      <c r="E216" s="1982"/>
      <c r="F216" s="1982"/>
    </row>
    <row r="217" spans="1:9">
      <c r="A217" s="792"/>
      <c r="B217" s="792"/>
      <c r="C217" s="792"/>
      <c r="D217" s="1962" t="s">
        <v>1291</v>
      </c>
      <c r="E217" s="1962"/>
      <c r="F217" s="1962"/>
    </row>
    <row r="218" spans="1:9" ht="12" customHeight="1">
      <c r="A218" s="815"/>
      <c r="B218" s="815"/>
      <c r="C218" s="815"/>
    </row>
    <row r="219" spans="1:9" ht="13.9" customHeight="1">
      <c r="A219" s="815"/>
      <c r="C219" s="815"/>
      <c r="D219" s="1878" t="s">
        <v>578</v>
      </c>
      <c r="E219" s="1878"/>
      <c r="F219" s="1878"/>
      <c r="I219" s="1773" t="s">
        <v>2431</v>
      </c>
    </row>
    <row r="220" spans="1:9" ht="14.25">
      <c r="A220" s="796"/>
      <c r="B220" s="797" t="s">
        <v>2589</v>
      </c>
      <c r="D220" s="1923" t="s">
        <v>2259</v>
      </c>
      <c r="E220" s="1923"/>
      <c r="F220" s="1923"/>
    </row>
    <row r="221" spans="1:9" ht="14.25" customHeight="1">
      <c r="A221" s="796"/>
      <c r="B221" s="796"/>
      <c r="D221" s="1923"/>
      <c r="E221" s="1923"/>
      <c r="F221" s="1923"/>
    </row>
    <row r="222" spans="1:9" ht="14.25" customHeight="1">
      <c r="A222" s="796"/>
      <c r="B222" s="796"/>
      <c r="D222" s="1923"/>
      <c r="E222" s="1923"/>
      <c r="F222" s="1923"/>
    </row>
    <row r="223" spans="1:9" ht="14.25">
      <c r="A223" s="796"/>
      <c r="B223" s="796"/>
      <c r="D223" s="1923"/>
      <c r="E223" s="1923"/>
      <c r="F223" s="1923"/>
    </row>
    <row r="224" spans="1:9" ht="14.25">
      <c r="A224" s="796"/>
      <c r="B224" s="796"/>
      <c r="D224" s="1711"/>
      <c r="E224" s="1711"/>
      <c r="F224" s="1711"/>
    </row>
    <row r="225" spans="1:9" ht="14.25">
      <c r="A225" s="796"/>
      <c r="B225" s="797" t="s">
        <v>2589</v>
      </c>
      <c r="D225" s="1923" t="s">
        <v>2260</v>
      </c>
      <c r="E225" s="1923"/>
      <c r="F225" s="1923"/>
      <c r="I225" s="1773" t="s">
        <v>2432</v>
      </c>
    </row>
    <row r="226" spans="1:9" ht="14.25">
      <c r="A226" s="796"/>
      <c r="B226" s="796"/>
      <c r="D226" s="1923"/>
      <c r="E226" s="1923"/>
      <c r="F226" s="1923"/>
    </row>
    <row r="227" spans="1:9" ht="14.25">
      <c r="A227" s="796"/>
      <c r="B227" s="796"/>
      <c r="D227" s="1923"/>
      <c r="E227" s="1923"/>
      <c r="F227" s="1923"/>
    </row>
    <row r="228" spans="1:9" ht="14.25">
      <c r="A228" s="796"/>
      <c r="B228" s="796"/>
      <c r="D228" s="1923"/>
      <c r="E228" s="1923"/>
      <c r="F228" s="1923"/>
    </row>
    <row r="229" spans="1:9" ht="14.25" customHeight="1">
      <c r="A229" s="796"/>
      <c r="B229" s="796"/>
      <c r="D229" s="1923"/>
      <c r="E229" s="1923"/>
      <c r="F229" s="1923"/>
    </row>
    <row r="230" spans="1:9" ht="14.25" customHeight="1">
      <c r="A230" s="796"/>
      <c r="B230" s="796"/>
      <c r="D230" s="1711"/>
      <c r="E230" s="1711"/>
      <c r="F230" s="1711"/>
    </row>
    <row r="231" spans="1:9" ht="14.25">
      <c r="A231" s="796"/>
      <c r="B231" s="796"/>
      <c r="D231" s="1923" t="s">
        <v>1287</v>
      </c>
      <c r="E231" s="1923"/>
      <c r="F231" s="1923"/>
      <c r="I231" s="1773" t="s">
        <v>2431</v>
      </c>
    </row>
    <row r="232" spans="1:9" ht="14.25">
      <c r="A232" s="796"/>
      <c r="B232" s="796"/>
      <c r="D232" s="1923"/>
      <c r="E232" s="1923"/>
      <c r="F232" s="1923"/>
    </row>
    <row r="233" spans="1:9" ht="14.25">
      <c r="A233" s="796"/>
      <c r="B233" s="796"/>
      <c r="D233" s="1923"/>
      <c r="E233" s="1923"/>
      <c r="F233" s="1923"/>
    </row>
    <row r="234" spans="1:9" ht="14.25">
      <c r="A234" s="796"/>
      <c r="B234" s="796"/>
      <c r="D234" s="1923"/>
      <c r="E234" s="1923"/>
      <c r="F234" s="1923"/>
    </row>
    <row r="235" spans="1:9" ht="14.25">
      <c r="A235" s="796"/>
      <c r="B235" s="796"/>
      <c r="D235" s="1923"/>
      <c r="E235" s="1923"/>
      <c r="F235" s="1923"/>
    </row>
    <row r="236" spans="1:9" ht="14.25">
      <c r="A236" s="796"/>
      <c r="B236" s="796"/>
      <c r="D236" s="799"/>
      <c r="E236" s="799"/>
      <c r="F236" s="799"/>
    </row>
    <row r="237" spans="1:9" ht="14.25">
      <c r="A237" s="796"/>
      <c r="B237" s="797" t="s">
        <v>2590</v>
      </c>
      <c r="D237" s="1959" t="s">
        <v>2264</v>
      </c>
      <c r="E237" s="1959"/>
      <c r="F237" s="1959"/>
      <c r="I237" s="1773" t="s">
        <v>2470</v>
      </c>
    </row>
    <row r="238" spans="1:9" ht="14.25">
      <c r="A238" s="796"/>
      <c r="B238" s="796"/>
      <c r="D238" s="1959"/>
      <c r="E238" s="1959"/>
      <c r="F238" s="1959"/>
    </row>
    <row r="239" spans="1:9" ht="14.25">
      <c r="A239" s="796"/>
      <c r="B239" s="796"/>
      <c r="D239" s="1959"/>
      <c r="E239" s="1959"/>
      <c r="F239" s="1959"/>
    </row>
    <row r="240" spans="1:9" ht="14.25">
      <c r="A240" s="796"/>
      <c r="B240" s="796"/>
      <c r="D240" s="1960" t="s">
        <v>962</v>
      </c>
      <c r="E240" s="1960"/>
      <c r="F240" s="1960"/>
    </row>
    <row r="241" spans="1:9" ht="14.25">
      <c r="A241" s="796"/>
      <c r="B241" s="796"/>
      <c r="D241" s="799"/>
      <c r="E241" s="799"/>
      <c r="F241" s="799"/>
    </row>
    <row r="242" spans="1:9" ht="14.65" customHeight="1">
      <c r="A242" s="796"/>
      <c r="B242" s="797" t="s">
        <v>2590</v>
      </c>
      <c r="D242" s="1959" t="s">
        <v>1290</v>
      </c>
      <c r="E242" s="1959"/>
      <c r="F242" s="1959"/>
      <c r="I242" s="1773" t="s">
        <v>2490</v>
      </c>
    </row>
    <row r="243" spans="1:9" ht="14.25">
      <c r="A243" s="796"/>
      <c r="B243" s="796"/>
      <c r="D243" s="1959"/>
      <c r="E243" s="1959"/>
      <c r="F243" s="1959"/>
    </row>
    <row r="244" spans="1:9" ht="14.25">
      <c r="A244" s="796"/>
      <c r="B244" s="796"/>
      <c r="D244" s="1959"/>
      <c r="E244" s="1959"/>
      <c r="F244" s="1959"/>
    </row>
    <row r="245" spans="1:9" ht="14.25">
      <c r="A245" s="796"/>
      <c r="B245" s="796"/>
      <c r="D245" s="1959"/>
      <c r="E245" s="1959"/>
      <c r="F245" s="1959"/>
    </row>
    <row r="246" spans="1:9" ht="14.25">
      <c r="A246" s="796"/>
      <c r="B246" s="796"/>
      <c r="D246" s="1959"/>
      <c r="E246" s="1959"/>
      <c r="F246" s="1959"/>
    </row>
    <row r="247" spans="1:9" ht="14.25">
      <c r="A247" s="796"/>
      <c r="B247" s="796"/>
      <c r="D247" s="1723"/>
      <c r="E247" s="1723"/>
      <c r="F247" s="1723"/>
    </row>
    <row r="248" spans="1:9" ht="14.25">
      <c r="A248" s="796"/>
      <c r="B248" s="797" t="s">
        <v>2589</v>
      </c>
      <c r="D248" s="1722" t="s">
        <v>2261</v>
      </c>
      <c r="E248" s="1723"/>
      <c r="F248" s="1723"/>
      <c r="I248" s="1773" t="s">
        <v>2469</v>
      </c>
    </row>
    <row r="249" spans="1:9" ht="14.25">
      <c r="A249" s="796"/>
      <c r="B249" s="796"/>
      <c r="D249" s="1722"/>
      <c r="E249" s="1730" t="s">
        <v>2262</v>
      </c>
      <c r="F249" s="1723"/>
    </row>
    <row r="250" spans="1:9">
      <c r="D250" s="799"/>
      <c r="E250" s="799"/>
      <c r="F250" s="799"/>
    </row>
    <row r="251" spans="1:9" ht="14.25">
      <c r="A251" s="796"/>
      <c r="B251" s="797" t="s">
        <v>2589</v>
      </c>
      <c r="D251" s="1923" t="s">
        <v>1289</v>
      </c>
      <c r="E251" s="1923"/>
      <c r="F251" s="1923"/>
    </row>
    <row r="252" spans="1:9" ht="14.25">
      <c r="A252" s="796"/>
      <c r="B252" s="796"/>
      <c r="D252" s="1923"/>
      <c r="E252" s="1923"/>
      <c r="F252" s="1923"/>
    </row>
    <row r="253" spans="1:9">
      <c r="D253" s="820"/>
    </row>
    <row r="254" spans="1:9">
      <c r="A254" s="1888" t="s">
        <v>1163</v>
      </c>
      <c r="B254" s="1888"/>
      <c r="C254" s="1888"/>
      <c r="D254" s="1888"/>
      <c r="E254" s="1888"/>
      <c r="F254" s="1888"/>
      <c r="G254" s="1888"/>
      <c r="H254" s="1852"/>
      <c r="I254" s="1853"/>
    </row>
    <row r="255" spans="1:9">
      <c r="D255" s="820"/>
    </row>
    <row r="256" spans="1:9">
      <c r="C256" s="806"/>
      <c r="D256" s="1878" t="s">
        <v>1292</v>
      </c>
      <c r="E256" s="1878"/>
      <c r="F256" s="1878"/>
    </row>
    <row r="257" spans="1:9">
      <c r="A257" s="792"/>
      <c r="B257" s="792"/>
      <c r="C257" s="792"/>
      <c r="D257" s="799"/>
      <c r="E257" s="799"/>
      <c r="F257" s="799"/>
    </row>
    <row r="258" spans="1:9">
      <c r="A258" s="794"/>
      <c r="B258" s="794"/>
      <c r="C258" s="794"/>
      <c r="D258" s="1878" t="s">
        <v>274</v>
      </c>
      <c r="E258" s="1878"/>
      <c r="F258" s="1878"/>
      <c r="I258" s="1773" t="s">
        <v>2471</v>
      </c>
    </row>
    <row r="259" spans="1:9" ht="14.65" customHeight="1">
      <c r="A259" s="796"/>
      <c r="B259" s="797" t="s">
        <v>2589</v>
      </c>
      <c r="D259" s="1991" t="s">
        <v>1399</v>
      </c>
      <c r="E259" s="1991"/>
      <c r="F259" s="1991"/>
    </row>
    <row r="260" spans="1:9">
      <c r="D260" s="1991"/>
      <c r="E260" s="1991"/>
      <c r="F260" s="1991"/>
    </row>
    <row r="261" spans="1:9">
      <c r="D261" s="1962" t="s">
        <v>953</v>
      </c>
      <c r="E261" s="1962"/>
      <c r="F261" s="1962"/>
    </row>
    <row r="262" spans="1:9">
      <c r="D262" s="799"/>
      <c r="E262" s="799"/>
      <c r="F262" s="799"/>
    </row>
    <row r="263" spans="1:9" ht="14.65" customHeight="1">
      <c r="A263" s="796"/>
      <c r="B263" s="797" t="s">
        <v>2590</v>
      </c>
      <c r="D263" s="1959" t="s">
        <v>2263</v>
      </c>
      <c r="E263" s="1959"/>
      <c r="F263" s="1959"/>
      <c r="I263" s="1773" t="s">
        <v>2491</v>
      </c>
    </row>
    <row r="264" spans="1:9">
      <c r="D264" s="1959"/>
      <c r="E264" s="1959"/>
      <c r="F264" s="1959"/>
    </row>
    <row r="265" spans="1:9">
      <c r="D265" s="1959"/>
      <c r="E265" s="1959"/>
      <c r="F265" s="1959"/>
    </row>
    <row r="266" spans="1:9">
      <c r="D266" s="1959"/>
      <c r="E266" s="1959"/>
      <c r="F266" s="1959"/>
    </row>
    <row r="267" spans="1:9">
      <c r="D267" s="1959"/>
      <c r="E267" s="1959"/>
      <c r="F267" s="1959"/>
    </row>
    <row r="268" spans="1:9">
      <c r="D268" s="1959"/>
      <c r="E268" s="1959"/>
      <c r="F268" s="1959"/>
    </row>
    <row r="269" spans="1:9">
      <c r="D269" s="799"/>
      <c r="E269" s="799"/>
      <c r="F269" s="799"/>
    </row>
    <row r="270" spans="1:9" ht="14.25">
      <c r="A270" s="796"/>
      <c r="B270" s="797" t="s">
        <v>2590</v>
      </c>
      <c r="D270" s="1923" t="s">
        <v>1295</v>
      </c>
      <c r="E270" s="1923"/>
      <c r="F270" s="1923"/>
    </row>
    <row r="271" spans="1:9">
      <c r="D271" s="1923"/>
      <c r="E271" s="1923"/>
      <c r="F271" s="1923"/>
    </row>
    <row r="272" spans="1:9">
      <c r="D272" s="1923"/>
      <c r="E272" s="1923"/>
      <c r="F272" s="1923"/>
    </row>
    <row r="273" spans="1:9">
      <c r="D273" s="821"/>
      <c r="E273" s="799"/>
      <c r="F273" s="799"/>
    </row>
    <row r="274" spans="1:9">
      <c r="A274" s="1888" t="s">
        <v>1164</v>
      </c>
      <c r="B274" s="1888"/>
      <c r="C274" s="1888"/>
      <c r="D274" s="1888"/>
      <c r="E274" s="1888"/>
      <c r="F274" s="1888"/>
      <c r="G274" s="1888"/>
      <c r="H274" s="1852"/>
      <c r="I274" s="1853"/>
    </row>
    <row r="275" spans="1:9">
      <c r="D275" s="821"/>
      <c r="E275" s="799"/>
      <c r="F275" s="799"/>
    </row>
    <row r="276" spans="1:9">
      <c r="C276" s="792"/>
      <c r="D276" s="1961" t="s">
        <v>1297</v>
      </c>
      <c r="E276" s="1961"/>
      <c r="F276" s="1961"/>
    </row>
    <row r="277" spans="1:9">
      <c r="C277" s="792"/>
      <c r="D277" s="1961"/>
      <c r="E277" s="1961"/>
      <c r="F277" s="1961"/>
    </row>
    <row r="278" spans="1:9">
      <c r="A278" s="794"/>
      <c r="B278" s="794"/>
      <c r="C278" s="794"/>
      <c r="D278" s="621"/>
      <c r="E278" s="671"/>
      <c r="F278" s="671"/>
    </row>
    <row r="279" spans="1:9">
      <c r="C279" s="794"/>
      <c r="D279" s="1878" t="s">
        <v>214</v>
      </c>
      <c r="E279" s="1878"/>
      <c r="F279" s="1878"/>
    </row>
    <row r="280" spans="1:9" ht="15.75" customHeight="1">
      <c r="A280" s="796"/>
      <c r="B280" s="796"/>
      <c r="D280" s="1971" t="s">
        <v>1298</v>
      </c>
      <c r="E280" s="1971"/>
      <c r="F280" s="1971"/>
    </row>
    <row r="281" spans="1:9">
      <c r="E281" s="799"/>
      <c r="F281" s="799"/>
    </row>
    <row r="282" spans="1:9" ht="14.25">
      <c r="A282" s="796"/>
      <c r="B282" s="797" t="s">
        <v>2590</v>
      </c>
      <c r="D282" s="1923" t="s">
        <v>1299</v>
      </c>
      <c r="E282" s="1923"/>
      <c r="F282" s="1923"/>
      <c r="I282" s="1773" t="s">
        <v>2433</v>
      </c>
    </row>
    <row r="283" spans="1:9" ht="14.25">
      <c r="A283" s="796"/>
      <c r="B283" s="796"/>
      <c r="D283" s="1923"/>
      <c r="E283" s="1923"/>
      <c r="F283" s="1923"/>
    </row>
    <row r="284" spans="1:9">
      <c r="D284" s="799"/>
      <c r="E284" s="799"/>
      <c r="F284" s="799"/>
    </row>
    <row r="285" spans="1:9" ht="14.25">
      <c r="A285" s="796"/>
      <c r="B285" s="797" t="s">
        <v>2590</v>
      </c>
      <c r="D285" s="1959" t="s">
        <v>1300</v>
      </c>
      <c r="E285" s="1959"/>
      <c r="F285" s="1959"/>
      <c r="I285" s="1773" t="s">
        <v>2433</v>
      </c>
    </row>
    <row r="286" spans="1:9" ht="14.25">
      <c r="A286" s="796"/>
      <c r="B286" s="796"/>
      <c r="D286" s="1959"/>
      <c r="E286" s="1959"/>
      <c r="F286" s="1959"/>
    </row>
    <row r="287" spans="1:9" ht="14.25">
      <c r="A287" s="796"/>
      <c r="B287" s="796"/>
      <c r="D287" s="1959"/>
      <c r="E287" s="1959"/>
      <c r="F287" s="1959"/>
    </row>
    <row r="288" spans="1:9">
      <c r="D288" s="799"/>
      <c r="E288" s="799"/>
      <c r="F288" s="799"/>
    </row>
    <row r="289" spans="1:9" ht="14.25">
      <c r="A289" s="796"/>
      <c r="B289" s="797" t="s">
        <v>2590</v>
      </c>
      <c r="D289" s="1923" t="s">
        <v>1301</v>
      </c>
      <c r="E289" s="1923"/>
      <c r="F289" s="1923"/>
      <c r="I289" s="1773" t="s">
        <v>2433</v>
      </c>
    </row>
    <row r="290" spans="1:9" ht="14.25">
      <c r="A290" s="796"/>
      <c r="B290" s="796"/>
      <c r="D290" s="1923"/>
      <c r="E290" s="1923"/>
      <c r="F290" s="1923"/>
    </row>
    <row r="291" spans="1:9">
      <c r="A291" s="815"/>
      <c r="B291" s="815"/>
      <c r="E291" s="799"/>
      <c r="F291" s="799"/>
    </row>
    <row r="292" spans="1:9">
      <c r="A292" s="1888" t="s">
        <v>1165</v>
      </c>
      <c r="B292" s="1888"/>
      <c r="C292" s="1888"/>
      <c r="D292" s="1888"/>
      <c r="E292" s="1888"/>
      <c r="F292" s="1888"/>
      <c r="G292" s="1888"/>
      <c r="H292" s="1852"/>
      <c r="I292" s="1853"/>
    </row>
    <row r="293" spans="1:9">
      <c r="A293" s="815"/>
      <c r="B293" s="815"/>
      <c r="D293" s="799"/>
      <c r="E293" s="799"/>
      <c r="F293" s="799"/>
    </row>
    <row r="294" spans="1:9">
      <c r="C294" s="815"/>
      <c r="D294" s="1878" t="s">
        <v>718</v>
      </c>
      <c r="E294" s="1878"/>
      <c r="F294" s="1878"/>
    </row>
    <row r="295" spans="1:9">
      <c r="C295" s="815"/>
      <c r="D295" s="1928" t="s">
        <v>1302</v>
      </c>
      <c r="E295" s="1928"/>
      <c r="F295" s="1928"/>
    </row>
    <row r="296" spans="1:9">
      <c r="C296" s="815"/>
      <c r="D296" s="822"/>
    </row>
    <row r="297" spans="1:9">
      <c r="A297" s="800"/>
      <c r="B297" s="797" t="s">
        <v>2590</v>
      </c>
      <c r="D297" s="1928" t="s">
        <v>1303</v>
      </c>
      <c r="E297" s="1928"/>
      <c r="F297" s="1928"/>
      <c r="I297" s="1773" t="s">
        <v>2434</v>
      </c>
    </row>
    <row r="298" spans="1:9" s="790" customFormat="1" ht="14.25">
      <c r="A298" s="804"/>
      <c r="B298" s="804"/>
      <c r="C298" s="800"/>
      <c r="D298" s="823"/>
      <c r="E298" s="824"/>
      <c r="F298" s="824"/>
      <c r="G298" s="801"/>
      <c r="I298" s="1836"/>
    </row>
    <row r="299" spans="1:9" s="790" customFormat="1" ht="13.9" customHeight="1">
      <c r="A299" s="800"/>
      <c r="B299" s="797" t="s">
        <v>2590</v>
      </c>
      <c r="C299" s="800"/>
      <c r="D299" s="1966" t="s">
        <v>1428</v>
      </c>
      <c r="E299" s="1966"/>
      <c r="F299" s="1966"/>
      <c r="G299" s="801"/>
      <c r="I299" s="1836" t="s">
        <v>2434</v>
      </c>
    </row>
    <row r="300" spans="1:9" s="790" customFormat="1" ht="14.25">
      <c r="A300" s="804"/>
      <c r="B300" s="804"/>
      <c r="C300" s="800"/>
      <c r="D300" s="1966"/>
      <c r="E300" s="1966"/>
      <c r="F300" s="1966"/>
      <c r="G300" s="801"/>
      <c r="I300" s="1836"/>
    </row>
    <row r="301" spans="1:9" s="790" customFormat="1" ht="14.25">
      <c r="A301" s="804"/>
      <c r="B301" s="804"/>
      <c r="C301" s="800"/>
      <c r="D301" s="1966"/>
      <c r="E301" s="1966"/>
      <c r="F301" s="1966"/>
      <c r="G301" s="801"/>
      <c r="I301" s="1836"/>
    </row>
    <row r="302" spans="1:9" s="790" customFormat="1" ht="14.25">
      <c r="A302" s="804"/>
      <c r="B302" s="804"/>
      <c r="C302" s="800"/>
      <c r="D302" s="1966"/>
      <c r="E302" s="1966"/>
      <c r="F302" s="1966"/>
      <c r="G302" s="801"/>
      <c r="I302" s="1836"/>
    </row>
    <row r="303" spans="1:9" s="790" customFormat="1" ht="14.25">
      <c r="A303" s="804"/>
      <c r="B303" s="804"/>
      <c r="C303" s="800"/>
      <c r="D303" s="1966"/>
      <c r="E303" s="1966"/>
      <c r="F303" s="1966"/>
      <c r="G303" s="801"/>
      <c r="I303" s="1836"/>
    </row>
    <row r="304" spans="1:9" s="790" customFormat="1" ht="14.25">
      <c r="A304" s="804"/>
      <c r="B304" s="804"/>
      <c r="C304" s="800"/>
      <c r="D304" s="823"/>
      <c r="E304" s="824"/>
      <c r="F304" s="824"/>
      <c r="G304" s="801"/>
      <c r="I304" s="1836"/>
    </row>
    <row r="305" spans="1:9" s="790" customFormat="1" ht="13.9" customHeight="1">
      <c r="A305" s="800"/>
      <c r="B305" s="797" t="s">
        <v>2590</v>
      </c>
      <c r="C305" s="800"/>
      <c r="D305" s="1966" t="s">
        <v>1305</v>
      </c>
      <c r="E305" s="1966"/>
      <c r="F305" s="1966"/>
      <c r="G305" s="801"/>
      <c r="I305" s="1836" t="s">
        <v>2434</v>
      </c>
    </row>
    <row r="306" spans="1:9" s="790" customFormat="1">
      <c r="A306" s="800"/>
      <c r="B306" s="800"/>
      <c r="C306" s="800"/>
      <c r="D306" s="1966"/>
      <c r="E306" s="1966"/>
      <c r="F306" s="1966"/>
      <c r="G306" s="801"/>
      <c r="I306" s="1836"/>
    </row>
    <row r="307" spans="1:9" s="790" customFormat="1" ht="14.25">
      <c r="A307" s="804"/>
      <c r="B307" s="804"/>
      <c r="C307" s="800"/>
      <c r="D307" s="823"/>
      <c r="E307" s="824"/>
      <c r="F307" s="824"/>
      <c r="G307" s="801"/>
      <c r="I307" s="1836"/>
    </row>
    <row r="308" spans="1:9">
      <c r="A308" s="800"/>
      <c r="B308" s="797" t="s">
        <v>2590</v>
      </c>
      <c r="D308" s="1928" t="s">
        <v>1306</v>
      </c>
      <c r="E308" s="1928"/>
      <c r="F308" s="1928"/>
      <c r="I308" s="1773" t="s">
        <v>2420</v>
      </c>
    </row>
    <row r="309" spans="1:9">
      <c r="E309" s="799"/>
      <c r="F309" s="799"/>
    </row>
    <row r="310" spans="1:9" ht="14.25">
      <c r="A310" s="796"/>
      <c r="B310" s="797" t="s">
        <v>2590</v>
      </c>
      <c r="D310" s="1959" t="s">
        <v>1455</v>
      </c>
      <c r="E310" s="1959"/>
      <c r="F310" s="1959"/>
      <c r="I310" s="1773" t="s">
        <v>2435</v>
      </c>
    </row>
    <row r="311" spans="1:9" ht="14.25">
      <c r="A311" s="796"/>
      <c r="B311" s="796"/>
      <c r="D311" s="1959"/>
      <c r="E311" s="1959"/>
      <c r="F311" s="1959"/>
    </row>
    <row r="312" spans="1:9" ht="14.25">
      <c r="A312" s="796"/>
      <c r="B312" s="796"/>
      <c r="D312" s="1959"/>
      <c r="E312" s="1959"/>
      <c r="F312" s="1959"/>
    </row>
    <row r="313" spans="1:9" ht="14.25">
      <c r="A313" s="796"/>
      <c r="B313" s="796"/>
      <c r="D313" s="1959"/>
      <c r="E313" s="1959"/>
      <c r="F313" s="1959"/>
    </row>
    <row r="314" spans="1:9" ht="14.25">
      <c r="A314" s="796"/>
      <c r="B314" s="796"/>
      <c r="D314" s="1959"/>
      <c r="E314" s="1959"/>
      <c r="F314" s="1959"/>
    </row>
    <row r="315" spans="1:9" ht="14.25">
      <c r="A315" s="796"/>
      <c r="B315" s="796"/>
      <c r="D315" s="1959"/>
      <c r="E315" s="1959"/>
      <c r="F315" s="1959"/>
    </row>
    <row r="316" spans="1:9" ht="14.25">
      <c r="A316" s="796"/>
      <c r="B316" s="796"/>
      <c r="D316" s="1959"/>
      <c r="E316" s="1959"/>
      <c r="F316" s="1959"/>
    </row>
    <row r="317" spans="1:9" ht="14.25">
      <c r="A317" s="796"/>
      <c r="B317" s="796"/>
      <c r="D317" s="1959"/>
      <c r="E317" s="1959"/>
      <c r="F317" s="1959"/>
    </row>
    <row r="318" spans="1:9" ht="14.25">
      <c r="A318" s="796"/>
      <c r="B318" s="796"/>
      <c r="D318" s="1959"/>
      <c r="E318" s="1959"/>
      <c r="F318" s="1959"/>
    </row>
    <row r="319" spans="1:9" ht="14.25">
      <c r="A319" s="796"/>
      <c r="B319" s="796"/>
      <c r="D319" s="1959"/>
      <c r="E319" s="1959"/>
      <c r="F319" s="1959"/>
    </row>
    <row r="320" spans="1:9" ht="14.25">
      <c r="A320" s="796"/>
      <c r="B320" s="796"/>
      <c r="D320" s="1959"/>
      <c r="E320" s="1959"/>
      <c r="F320" s="1959"/>
    </row>
    <row r="321" spans="1:9" ht="14.25">
      <c r="A321" s="796"/>
      <c r="B321" s="796"/>
      <c r="D321" s="1959"/>
      <c r="E321" s="1959"/>
      <c r="F321" s="1959"/>
    </row>
    <row r="322" spans="1:9" ht="14.25">
      <c r="A322" s="796"/>
      <c r="B322" s="796"/>
      <c r="D322" s="1959"/>
      <c r="E322" s="1959"/>
      <c r="F322" s="1959"/>
    </row>
    <row r="323" spans="1:9" ht="14.25">
      <c r="A323" s="796"/>
      <c r="B323" s="796"/>
      <c r="D323" s="1959"/>
      <c r="E323" s="1959"/>
      <c r="F323" s="1959"/>
    </row>
    <row r="324" spans="1:9" ht="14.25">
      <c r="A324" s="796"/>
      <c r="B324" s="796"/>
      <c r="D324" s="1959"/>
      <c r="E324" s="1959"/>
      <c r="F324" s="1959"/>
    </row>
    <row r="325" spans="1:9">
      <c r="D325" s="799"/>
      <c r="E325" s="799"/>
      <c r="F325" s="799"/>
    </row>
    <row r="326" spans="1:9" ht="14.25">
      <c r="A326" s="796"/>
      <c r="B326" s="797" t="s">
        <v>2590</v>
      </c>
      <c r="D326" s="1959" t="s">
        <v>1308</v>
      </c>
      <c r="E326" s="1959"/>
      <c r="F326" s="1959"/>
      <c r="I326" s="1773" t="s">
        <v>2435</v>
      </c>
    </row>
    <row r="327" spans="1:9">
      <c r="D327" s="1959"/>
      <c r="E327" s="1959"/>
      <c r="F327" s="1959"/>
    </row>
    <row r="328" spans="1:9">
      <c r="D328" s="1959"/>
      <c r="E328" s="1959"/>
      <c r="F328" s="1959"/>
    </row>
    <row r="329" spans="1:9">
      <c r="D329" s="1959"/>
      <c r="E329" s="1959"/>
      <c r="F329" s="1959"/>
    </row>
    <row r="330" spans="1:9">
      <c r="D330" s="1959"/>
      <c r="E330" s="1959"/>
      <c r="F330" s="1959"/>
    </row>
    <row r="331" spans="1:9">
      <c r="D331" s="1959"/>
      <c r="E331" s="1959"/>
      <c r="F331" s="1959"/>
    </row>
    <row r="332" spans="1:9">
      <c r="D332" s="1959"/>
      <c r="E332" s="1959"/>
      <c r="F332" s="1959"/>
    </row>
    <row r="333" spans="1:9">
      <c r="D333" s="1959"/>
      <c r="E333" s="1959"/>
      <c r="F333" s="1959"/>
    </row>
    <row r="334" spans="1:9">
      <c r="D334" s="1959"/>
      <c r="E334" s="1959"/>
      <c r="F334" s="1959"/>
    </row>
    <row r="335" spans="1:9">
      <c r="D335" s="799"/>
      <c r="E335" s="799"/>
      <c r="F335" s="799"/>
    </row>
    <row r="336" spans="1:9" ht="14.25">
      <c r="A336" s="796"/>
      <c r="B336" s="797" t="s">
        <v>2590</v>
      </c>
      <c r="D336" s="1923" t="s">
        <v>1504</v>
      </c>
      <c r="E336" s="1923"/>
      <c r="F336" s="1923"/>
      <c r="I336" s="1773" t="s">
        <v>2472</v>
      </c>
    </row>
    <row r="337" spans="1:9">
      <c r="D337" s="1923"/>
      <c r="E337" s="1923"/>
      <c r="F337" s="1923"/>
      <c r="G337" s="789"/>
    </row>
    <row r="338" spans="1:9">
      <c r="D338" s="1923"/>
      <c r="E338" s="1923"/>
      <c r="F338" s="1923"/>
      <c r="G338" s="789"/>
    </row>
    <row r="339" spans="1:9">
      <c r="D339" s="1923"/>
      <c r="E339" s="1923"/>
      <c r="F339" s="1923"/>
      <c r="G339" s="789"/>
    </row>
    <row r="340" spans="1:9">
      <c r="D340" s="1923"/>
      <c r="E340" s="1923"/>
      <c r="F340" s="1923"/>
      <c r="G340" s="789"/>
    </row>
    <row r="341" spans="1:9">
      <c r="D341" s="1923"/>
      <c r="E341" s="1923"/>
      <c r="F341" s="1923"/>
      <c r="G341" s="789"/>
    </row>
    <row r="342" spans="1:9" s="1771" customFormat="1">
      <c r="A342" s="787"/>
      <c r="B342" s="787"/>
      <c r="C342" s="787"/>
      <c r="D342" s="1826"/>
      <c r="E342" s="1826"/>
      <c r="F342" s="1826"/>
      <c r="I342" s="1773"/>
    </row>
    <row r="343" spans="1:9" ht="13.5" thickBot="1">
      <c r="A343" s="1827"/>
      <c r="B343" s="1827"/>
      <c r="C343" s="1827"/>
      <c r="D343" s="1990" t="s">
        <v>1058</v>
      </c>
      <c r="E343" s="1990"/>
      <c r="F343" s="1990"/>
      <c r="G343" s="1850"/>
      <c r="H343" s="1850"/>
      <c r="I343" s="1851"/>
    </row>
    <row r="344" spans="1:9" ht="13.5" thickTop="1">
      <c r="D344" s="1967" t="s">
        <v>1310</v>
      </c>
      <c r="E344" s="1967"/>
      <c r="F344" s="1967"/>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2436</v>
      </c>
    </row>
    <row r="347" spans="1:9" ht="14.25">
      <c r="A347" s="796"/>
      <c r="B347" s="797" t="s">
        <v>2590</v>
      </c>
      <c r="C347" s="828"/>
      <c r="D347" s="1928" t="s">
        <v>1319</v>
      </c>
      <c r="E347" s="1928"/>
      <c r="F347" s="1928"/>
      <c r="I347" s="1956" t="s">
        <v>2487</v>
      </c>
    </row>
    <row r="348" spans="1:9" ht="12.75" customHeight="1">
      <c r="D348" s="1932" t="s">
        <v>1453</v>
      </c>
      <c r="E348" s="1932"/>
      <c r="F348" s="1932"/>
      <c r="I348" s="1957"/>
    </row>
    <row r="349" spans="1:9">
      <c r="D349" s="1959" t="s">
        <v>1452</v>
      </c>
      <c r="E349" s="1959"/>
      <c r="F349" s="1959"/>
      <c r="I349" s="1957"/>
    </row>
    <row r="350" spans="1:9">
      <c r="D350" s="1959"/>
      <c r="E350" s="1959"/>
      <c r="F350" s="1959"/>
      <c r="I350" s="1957"/>
    </row>
    <row r="351" spans="1:9">
      <c r="D351" s="1959"/>
      <c r="E351" s="1959"/>
      <c r="F351" s="1959"/>
      <c r="I351" s="1958"/>
    </row>
    <row r="352" spans="1:9" ht="14.25">
      <c r="A352" s="796"/>
      <c r="B352" s="797" t="s">
        <v>2590</v>
      </c>
      <c r="C352" s="813"/>
      <c r="D352" s="1935" t="s">
        <v>1311</v>
      </c>
      <c r="E352" s="1935"/>
      <c r="F352" s="1935"/>
      <c r="G352" s="789"/>
      <c r="I352" s="618"/>
    </row>
    <row r="353" spans="1:9">
      <c r="A353" s="813"/>
      <c r="B353" s="813"/>
      <c r="C353" s="813"/>
      <c r="D353" s="785"/>
      <c r="E353" s="785"/>
      <c r="F353" s="799"/>
      <c r="G353" s="789"/>
    </row>
    <row r="354" spans="1:9">
      <c r="A354" s="813"/>
      <c r="B354" s="797" t="s">
        <v>2590</v>
      </c>
      <c r="C354" s="813"/>
      <c r="D354" s="1919" t="s">
        <v>1431</v>
      </c>
      <c r="E354" s="1919"/>
      <c r="F354" s="1919"/>
      <c r="G354" s="789"/>
    </row>
    <row r="355" spans="1:9">
      <c r="A355" s="813"/>
      <c r="B355" s="813"/>
      <c r="C355" s="813"/>
      <c r="D355" s="1919"/>
      <c r="E355" s="1919"/>
      <c r="F355" s="1919"/>
      <c r="G355" s="789"/>
    </row>
    <row r="356" spans="1:9">
      <c r="A356" s="813"/>
      <c r="B356" s="813"/>
      <c r="C356" s="813"/>
      <c r="D356" s="1919"/>
      <c r="E356" s="1919"/>
      <c r="F356" s="1919"/>
      <c r="G356" s="789"/>
    </row>
    <row r="357" spans="1:9">
      <c r="A357" s="813"/>
      <c r="B357" s="813"/>
      <c r="C357" s="813"/>
      <c r="D357" s="1919"/>
      <c r="E357" s="1919"/>
      <c r="F357" s="1919"/>
      <c r="G357" s="789"/>
    </row>
    <row r="358" spans="1:9">
      <c r="A358" s="813"/>
      <c r="B358" s="813"/>
      <c r="C358" s="813"/>
      <c r="D358" s="1919"/>
      <c r="E358" s="1919"/>
      <c r="F358" s="1919"/>
      <c r="G358" s="789"/>
    </row>
    <row r="359" spans="1:9">
      <c r="A359" s="813"/>
      <c r="B359" s="813"/>
      <c r="C359" s="813"/>
      <c r="D359" s="1919"/>
      <c r="E359" s="1919"/>
      <c r="F359" s="1919"/>
      <c r="G359" s="789"/>
    </row>
    <row r="360" spans="1:9">
      <c r="A360" s="813"/>
      <c r="B360" s="813"/>
      <c r="C360" s="813"/>
      <c r="D360" s="1919"/>
      <c r="E360" s="1919"/>
      <c r="F360" s="1919"/>
      <c r="G360" s="789"/>
    </row>
    <row r="361" spans="1:9">
      <c r="A361" s="813"/>
      <c r="B361" s="813"/>
      <c r="C361" s="813"/>
      <c r="D361" s="1919"/>
      <c r="E361" s="1919"/>
      <c r="F361" s="1919"/>
      <c r="G361" s="789"/>
    </row>
    <row r="362" spans="1:9">
      <c r="A362" s="813"/>
      <c r="B362" s="813"/>
      <c r="C362" s="813"/>
      <c r="D362" s="1919"/>
      <c r="E362" s="1919"/>
      <c r="F362" s="1919"/>
      <c r="G362" s="789"/>
    </row>
    <row r="363" spans="1:9">
      <c r="A363" s="813"/>
      <c r="B363" s="813"/>
      <c r="C363" s="813"/>
      <c r="D363" s="1919"/>
      <c r="E363" s="1919"/>
      <c r="F363" s="1919"/>
      <c r="G363" s="789"/>
    </row>
    <row r="364" spans="1:9">
      <c r="A364" s="813"/>
      <c r="B364" s="813"/>
      <c r="C364" s="813"/>
      <c r="D364" s="1919"/>
      <c r="E364" s="1919"/>
      <c r="F364" s="1919"/>
      <c r="G364" s="789"/>
    </row>
    <row r="365" spans="1:9">
      <c r="A365" s="813"/>
      <c r="B365" s="813"/>
      <c r="C365" s="813"/>
      <c r="D365" s="1919"/>
      <c r="E365" s="1919"/>
      <c r="F365" s="1919"/>
      <c r="G365" s="789"/>
    </row>
    <row r="366" spans="1:9" s="1771" customFormat="1">
      <c r="A366" s="1776"/>
      <c r="B366" s="1776"/>
      <c r="C366" s="1776"/>
      <c r="D366" s="1778"/>
      <c r="E366" s="1778"/>
      <c r="F366" s="1778"/>
      <c r="I366" s="1773"/>
    </row>
    <row r="367" spans="1:9" ht="12.6" customHeight="1">
      <c r="A367" s="813"/>
      <c r="B367" s="797" t="s">
        <v>2590</v>
      </c>
      <c r="C367" s="813"/>
      <c r="D367" s="1963" t="s">
        <v>1432</v>
      </c>
      <c r="E367" s="1963"/>
      <c r="F367" s="1963"/>
      <c r="G367" s="789"/>
    </row>
    <row r="368" spans="1:9">
      <c r="A368" s="813"/>
      <c r="B368" s="813"/>
      <c r="C368" s="813"/>
      <c r="D368" s="1963"/>
      <c r="E368" s="1963"/>
      <c r="F368" s="1963"/>
      <c r="G368" s="789"/>
    </row>
    <row r="369" spans="1:9">
      <c r="A369" s="813"/>
      <c r="B369" s="813"/>
      <c r="C369" s="813"/>
      <c r="D369" s="1963"/>
      <c r="E369" s="1963"/>
      <c r="F369" s="1963"/>
      <c r="G369" s="789"/>
    </row>
    <row r="370" spans="1:9">
      <c r="A370" s="813"/>
      <c r="B370" s="813"/>
      <c r="C370" s="813"/>
      <c r="D370" s="1963"/>
      <c r="E370" s="1963"/>
      <c r="F370" s="1963"/>
      <c r="G370" s="789"/>
    </row>
    <row r="371" spans="1:9" s="1771" customFormat="1">
      <c r="A371" s="1776"/>
      <c r="B371" s="1776"/>
      <c r="C371" s="1776"/>
      <c r="D371" s="1777"/>
      <c r="E371" s="1777"/>
      <c r="F371" s="1777"/>
      <c r="I371" s="1773"/>
    </row>
    <row r="372" spans="1:9" s="1771" customFormat="1">
      <c r="A372" s="1776"/>
      <c r="B372" s="1774" t="s">
        <v>2590</v>
      </c>
      <c r="C372" s="1776"/>
      <c r="D372" s="1771" t="s">
        <v>2355</v>
      </c>
      <c r="E372" s="1777"/>
      <c r="F372" s="1777"/>
      <c r="I372" s="1773"/>
    </row>
    <row r="373" spans="1:9" s="1771" customFormat="1">
      <c r="A373" s="1776"/>
      <c r="B373" s="1776"/>
      <c r="C373" s="1776"/>
      <c r="D373" s="1771" t="s">
        <v>2356</v>
      </c>
      <c r="E373" s="1777"/>
      <c r="F373" s="1777"/>
      <c r="I373" s="1773"/>
    </row>
    <row r="374" spans="1:9" s="1771" customFormat="1">
      <c r="A374" s="1776"/>
      <c r="B374" s="1776"/>
      <c r="C374" s="1776"/>
      <c r="D374" s="1771" t="s">
        <v>2357</v>
      </c>
      <c r="E374" s="1777"/>
      <c r="F374" s="1777"/>
      <c r="I374" s="1773"/>
    </row>
    <row r="375" spans="1:9" s="1771" customFormat="1">
      <c r="A375" s="1776"/>
      <c r="B375" s="1776"/>
      <c r="C375" s="1776"/>
      <c r="D375" s="1771" t="s">
        <v>2358</v>
      </c>
      <c r="E375" s="1777"/>
      <c r="F375" s="1777"/>
      <c r="I375" s="1773"/>
    </row>
    <row r="376" spans="1:9" s="1771" customFormat="1">
      <c r="A376" s="1776"/>
      <c r="B376" s="1776"/>
      <c r="C376" s="1776"/>
      <c r="D376" s="1771" t="s">
        <v>2359</v>
      </c>
      <c r="E376" s="1777"/>
      <c r="F376" s="1777"/>
      <c r="I376" s="1773"/>
    </row>
    <row r="377" spans="1:9" s="1771" customFormat="1">
      <c r="A377" s="1776"/>
      <c r="B377" s="1776"/>
      <c r="C377" s="1776"/>
      <c r="D377" s="1771" t="s">
        <v>2360</v>
      </c>
      <c r="E377" s="1777"/>
      <c r="F377" s="1777"/>
      <c r="I377" s="1773"/>
    </row>
    <row r="378" spans="1:9">
      <c r="A378" s="813"/>
      <c r="B378" s="813"/>
      <c r="C378" s="813"/>
      <c r="D378" s="789"/>
      <c r="E378" s="785"/>
      <c r="F378" s="799"/>
      <c r="G378" s="789"/>
    </row>
    <row r="379" spans="1:9" ht="14.25">
      <c r="A379" s="796"/>
      <c r="B379" s="797" t="s">
        <v>2590</v>
      </c>
      <c r="C379" s="813"/>
      <c r="D379" s="1938" t="s">
        <v>1313</v>
      </c>
      <c r="E379" s="1938"/>
      <c r="F379" s="1938"/>
      <c r="G379" s="789"/>
    </row>
    <row r="380" spans="1:9">
      <c r="A380" s="813"/>
      <c r="B380" s="813"/>
      <c r="C380" s="813"/>
      <c r="D380" s="1938"/>
      <c r="E380" s="1938"/>
      <c r="F380" s="1938"/>
      <c r="G380" s="789"/>
    </row>
    <row r="381" spans="1:9">
      <c r="A381" s="813"/>
      <c r="B381" s="813"/>
      <c r="C381" s="813"/>
      <c r="D381" s="1938"/>
      <c r="E381" s="1938"/>
      <c r="F381" s="1938"/>
      <c r="G381" s="789"/>
    </row>
    <row r="382" spans="1:9">
      <c r="A382" s="813"/>
      <c r="B382" s="813"/>
      <c r="C382" s="813"/>
      <c r="D382" s="1938"/>
      <c r="E382" s="1938"/>
      <c r="F382" s="1938"/>
      <c r="G382" s="789"/>
    </row>
    <row r="383" spans="1:9">
      <c r="A383" s="813"/>
      <c r="B383" s="813"/>
      <c r="C383" s="813"/>
      <c r="D383" s="825"/>
      <c r="E383" s="785"/>
      <c r="F383" s="799"/>
      <c r="G383" s="789"/>
    </row>
    <row r="384" spans="1:9">
      <c r="A384" s="813"/>
      <c r="B384" s="813"/>
      <c r="C384" s="813"/>
      <c r="D384" s="1938" t="s">
        <v>1314</v>
      </c>
      <c r="E384" s="1938"/>
      <c r="F384" s="1938"/>
      <c r="G384" s="789"/>
    </row>
    <row r="385" spans="1:7">
      <c r="A385" s="813"/>
      <c r="B385" s="813"/>
      <c r="C385" s="813"/>
      <c r="D385" s="1938"/>
      <c r="E385" s="1938"/>
      <c r="F385" s="1938"/>
      <c r="G385" s="789"/>
    </row>
    <row r="386" spans="1:7">
      <c r="A386" s="813"/>
      <c r="B386" s="813"/>
      <c r="C386" s="813"/>
      <c r="D386" s="1938"/>
      <c r="E386" s="1938"/>
      <c r="F386" s="1938"/>
      <c r="G386" s="789"/>
    </row>
    <row r="387" spans="1:7">
      <c r="A387" s="813"/>
      <c r="B387" s="813"/>
      <c r="C387" s="813"/>
      <c r="D387" s="1938"/>
      <c r="E387" s="1938"/>
      <c r="F387" s="1938"/>
      <c r="G387" s="789"/>
    </row>
    <row r="388" spans="1:7" ht="18" customHeight="1">
      <c r="A388" s="813"/>
      <c r="B388" s="813"/>
      <c r="C388" s="813"/>
      <c r="D388" s="1938"/>
      <c r="E388" s="1938"/>
      <c r="F388" s="1938"/>
      <c r="G388" s="789"/>
    </row>
    <row r="389" spans="1:7">
      <c r="A389" s="813"/>
      <c r="B389" s="813"/>
      <c r="C389" s="813"/>
      <c r="D389" s="1938"/>
      <c r="E389" s="1938"/>
      <c r="F389" s="1938"/>
      <c r="G389" s="789"/>
    </row>
    <row r="390" spans="1:7">
      <c r="A390" s="813"/>
      <c r="B390" s="813"/>
      <c r="C390" s="813"/>
      <c r="D390" s="1938"/>
      <c r="E390" s="1938"/>
      <c r="F390" s="1938"/>
      <c r="G390" s="789"/>
    </row>
    <row r="391" spans="1:7">
      <c r="A391" s="813"/>
      <c r="B391" s="813"/>
      <c r="C391" s="813"/>
      <c r="D391" s="1938"/>
      <c r="E391" s="1938"/>
      <c r="F391" s="1938"/>
      <c r="G391" s="789"/>
    </row>
    <row r="392" spans="1:7" ht="8.25" customHeight="1">
      <c r="A392" s="813"/>
      <c r="B392" s="813"/>
      <c r="C392" s="813"/>
      <c r="D392" s="1938"/>
      <c r="E392" s="1938"/>
      <c r="F392" s="1938"/>
      <c r="G392" s="789"/>
    </row>
    <row r="393" spans="1:7" ht="13.9" customHeight="1">
      <c r="A393" s="813"/>
      <c r="B393" s="813"/>
      <c r="C393" s="813"/>
      <c r="D393" s="1931" t="s">
        <v>1315</v>
      </c>
      <c r="E393" s="1931"/>
      <c r="F393" s="1931"/>
      <c r="G393" s="789"/>
    </row>
    <row r="394" spans="1:7">
      <c r="A394" s="813"/>
      <c r="B394" s="813"/>
      <c r="C394" s="813"/>
      <c r="D394" s="1931"/>
      <c r="E394" s="1931"/>
      <c r="F394" s="1931"/>
      <c r="G394" s="789"/>
    </row>
    <row r="395" spans="1:7">
      <c r="A395" s="813"/>
      <c r="B395" s="813"/>
      <c r="C395" s="813"/>
      <c r="D395" s="1931"/>
      <c r="E395" s="1931"/>
      <c r="F395" s="1931"/>
      <c r="G395" s="789"/>
    </row>
    <row r="396" spans="1:7">
      <c r="A396" s="813"/>
      <c r="B396" s="813"/>
      <c r="C396" s="813"/>
      <c r="D396" s="1931"/>
      <c r="E396" s="1931"/>
      <c r="F396" s="1931"/>
      <c r="G396" s="789"/>
    </row>
    <row r="397" spans="1:7">
      <c r="A397" s="813"/>
      <c r="B397" s="813"/>
      <c r="C397" s="813"/>
      <c r="D397" s="1931"/>
      <c r="E397" s="1931"/>
      <c r="F397" s="1931"/>
      <c r="G397" s="789"/>
    </row>
    <row r="398" spans="1:7">
      <c r="A398" s="813"/>
      <c r="B398" s="813"/>
      <c r="C398" s="813"/>
      <c r="D398" s="1931"/>
      <c r="E398" s="1931"/>
      <c r="F398" s="1931"/>
      <c r="G398" s="789"/>
    </row>
    <row r="399" spans="1:7">
      <c r="A399" s="813"/>
      <c r="B399" s="813"/>
      <c r="C399" s="813"/>
      <c r="D399" s="1931"/>
      <c r="E399" s="1931"/>
      <c r="F399" s="1931"/>
      <c r="G399" s="789"/>
    </row>
    <row r="400" spans="1:7">
      <c r="A400" s="813"/>
      <c r="B400" s="813"/>
      <c r="C400" s="813"/>
      <c r="D400" s="1931"/>
      <c r="E400" s="1931"/>
      <c r="F400" s="1931"/>
      <c r="G400" s="789"/>
    </row>
    <row r="401" spans="1:7">
      <c r="A401" s="813"/>
      <c r="B401" s="813"/>
      <c r="C401" s="813"/>
      <c r="D401" s="1931"/>
      <c r="E401" s="1931"/>
      <c r="F401" s="1931"/>
      <c r="G401" s="789"/>
    </row>
    <row r="402" spans="1:7">
      <c r="A402" s="813"/>
      <c r="B402" s="813"/>
      <c r="C402" s="813"/>
      <c r="D402" s="1931"/>
      <c r="E402" s="1931"/>
      <c r="F402" s="1931"/>
      <c r="G402" s="789"/>
    </row>
    <row r="403" spans="1:7">
      <c r="A403" s="813"/>
      <c r="B403" s="813"/>
      <c r="C403" s="813"/>
      <c r="D403" s="1931"/>
      <c r="E403" s="1931"/>
      <c r="F403" s="1931"/>
      <c r="G403" s="789"/>
    </row>
    <row r="404" spans="1:7">
      <c r="A404" s="813"/>
      <c r="B404" s="813"/>
      <c r="C404" s="813"/>
      <c r="D404" s="1931"/>
      <c r="E404" s="1931"/>
      <c r="F404" s="1931"/>
      <c r="G404" s="789"/>
    </row>
    <row r="405" spans="1:7">
      <c r="A405" s="813"/>
      <c r="B405" s="813"/>
      <c r="C405" s="826"/>
      <c r="D405" s="1931"/>
      <c r="E405" s="1931"/>
      <c r="F405" s="1931"/>
      <c r="G405" s="789"/>
    </row>
    <row r="406" spans="1:7">
      <c r="A406" s="813"/>
      <c r="B406" s="813"/>
      <c r="C406" s="826"/>
      <c r="D406" s="1931"/>
      <c r="E406" s="1931"/>
      <c r="F406" s="1931"/>
      <c r="G406" s="789"/>
    </row>
    <row r="407" spans="1:7">
      <c r="A407" s="813"/>
      <c r="B407" s="813"/>
      <c r="C407" s="813"/>
      <c r="D407" s="1931"/>
      <c r="E407" s="1931"/>
      <c r="F407" s="1931"/>
      <c r="G407" s="789"/>
    </row>
    <row r="408" spans="1:7">
      <c r="A408" s="813"/>
      <c r="B408" s="813"/>
      <c r="C408" s="826"/>
      <c r="D408" s="1931"/>
      <c r="E408" s="1931"/>
      <c r="F408" s="1931"/>
      <c r="G408" s="789"/>
    </row>
    <row r="409" spans="1:7">
      <c r="A409" s="813"/>
      <c r="B409" s="813"/>
      <c r="C409" s="826"/>
      <c r="D409" s="1931"/>
      <c r="E409" s="1931"/>
      <c r="F409" s="1931"/>
      <c r="G409" s="789"/>
    </row>
    <row r="410" spans="1:7">
      <c r="A410" s="813"/>
      <c r="B410" s="813"/>
      <c r="C410" s="826"/>
      <c r="D410" s="1931"/>
      <c r="E410" s="1931"/>
      <c r="F410" s="1931"/>
      <c r="G410" s="789"/>
    </row>
    <row r="411" spans="1:7">
      <c r="A411" s="813"/>
      <c r="B411" s="813"/>
      <c r="C411" s="813"/>
      <c r="D411" s="825"/>
      <c r="E411" s="785"/>
      <c r="F411" s="799"/>
      <c r="G411" s="789"/>
    </row>
    <row r="412" spans="1:7">
      <c r="A412" s="813"/>
      <c r="B412" s="797" t="s">
        <v>2590</v>
      </c>
      <c r="C412" s="813"/>
      <c r="D412" s="1931" t="s">
        <v>1316</v>
      </c>
      <c r="E412" s="1931"/>
      <c r="F412" s="1931"/>
      <c r="G412" s="789"/>
    </row>
    <row r="413" spans="1:7">
      <c r="A413" s="813"/>
      <c r="B413" s="813"/>
      <c r="C413" s="813"/>
      <c r="D413" s="1931"/>
      <c r="E413" s="1931"/>
      <c r="F413" s="1931"/>
      <c r="G413" s="789"/>
    </row>
    <row r="414" spans="1:7">
      <c r="A414" s="813"/>
      <c r="B414" s="813"/>
      <c r="C414" s="813"/>
      <c r="D414" s="902"/>
      <c r="E414" s="902"/>
      <c r="F414" s="902"/>
      <c r="G414" s="789"/>
    </row>
    <row r="415" spans="1:7" ht="14.65" customHeight="1">
      <c r="A415" s="796"/>
      <c r="B415" s="797" t="s">
        <v>2590</v>
      </c>
      <c r="D415" s="1931" t="s">
        <v>2473</v>
      </c>
      <c r="E415" s="1931"/>
      <c r="F415" s="1931"/>
    </row>
    <row r="416" spans="1:7" ht="14.65" customHeight="1">
      <c r="A416" s="796"/>
      <c r="D416" s="1931"/>
      <c r="E416" s="1931"/>
      <c r="F416" s="1931"/>
    </row>
    <row r="417" spans="1:7" ht="14.65" customHeight="1">
      <c r="A417" s="796"/>
      <c r="D417" s="1931"/>
      <c r="E417" s="1931"/>
      <c r="F417" s="1931"/>
    </row>
    <row r="418" spans="1:7" ht="14.65" customHeight="1">
      <c r="A418" s="796"/>
      <c r="D418" s="1931"/>
      <c r="E418" s="1931"/>
      <c r="F418" s="1931"/>
    </row>
    <row r="419" spans="1:7" ht="14.65" customHeight="1">
      <c r="A419" s="796"/>
      <c r="D419" s="1931"/>
      <c r="E419" s="1931"/>
      <c r="F419" s="1931"/>
    </row>
    <row r="420" spans="1:7" ht="14.65" customHeight="1">
      <c r="A420" s="796"/>
      <c r="D420" s="877"/>
      <c r="E420" s="877"/>
      <c r="F420" s="877"/>
    </row>
    <row r="421" spans="1:7" ht="13.9" customHeight="1">
      <c r="A421" s="796"/>
      <c r="B421" s="797" t="s">
        <v>2590</v>
      </c>
      <c r="C421" s="813"/>
      <c r="D421" s="1919" t="s">
        <v>1456</v>
      </c>
      <c r="E421" s="1919"/>
      <c r="F421" s="1919"/>
      <c r="G421" s="789"/>
    </row>
    <row r="422" spans="1:7" ht="14.25">
      <c r="A422" s="827"/>
      <c r="B422" s="827"/>
      <c r="C422" s="813"/>
      <c r="D422" s="1919"/>
      <c r="E422" s="1919"/>
      <c r="F422" s="1919"/>
      <c r="G422" s="789"/>
    </row>
    <row r="423" spans="1:7" ht="14.25">
      <c r="A423" s="827"/>
      <c r="B423" s="827"/>
      <c r="C423" s="813"/>
      <c r="D423" s="1919"/>
      <c r="E423" s="1919"/>
      <c r="F423" s="1919"/>
      <c r="G423" s="789"/>
    </row>
    <row r="424" spans="1:7" ht="14.25">
      <c r="A424" s="827"/>
      <c r="B424" s="827"/>
      <c r="C424" s="813"/>
      <c r="D424" s="1919"/>
      <c r="E424" s="1919"/>
      <c r="F424" s="1919"/>
      <c r="G424" s="789"/>
    </row>
    <row r="425" spans="1:7" ht="15.75" customHeight="1">
      <c r="A425" s="827"/>
      <c r="B425" s="827"/>
      <c r="C425" s="813"/>
      <c r="D425" s="1969" t="s">
        <v>1505</v>
      </c>
      <c r="E425" s="1919"/>
      <c r="F425" s="1919"/>
      <c r="G425" s="789"/>
    </row>
    <row r="426" spans="1:7">
      <c r="D426" s="799"/>
      <c r="E426" s="799"/>
      <c r="F426" s="799"/>
      <c r="G426" s="789"/>
    </row>
    <row r="427" spans="1:7" ht="14.25">
      <c r="A427" s="796"/>
      <c r="B427" s="797" t="s">
        <v>2590</v>
      </c>
      <c r="C427" s="828"/>
      <c r="D427" s="1923" t="s">
        <v>1318</v>
      </c>
      <c r="E427" s="1923"/>
      <c r="F427" s="1923"/>
      <c r="G427" s="789"/>
    </row>
    <row r="428" spans="1:7" ht="14.25">
      <c r="A428" s="796"/>
      <c r="B428" s="796"/>
      <c r="D428" s="1923"/>
      <c r="E428" s="1923"/>
      <c r="F428" s="1923"/>
      <c r="G428" s="789"/>
    </row>
    <row r="429" spans="1:7">
      <c r="D429" s="1923"/>
      <c r="E429" s="1923"/>
      <c r="F429" s="1923"/>
      <c r="G429" s="789"/>
    </row>
    <row r="430" spans="1:7">
      <c r="D430" s="1923"/>
      <c r="E430" s="1923"/>
      <c r="F430" s="1923"/>
      <c r="G430" s="789"/>
    </row>
    <row r="431" spans="1:7">
      <c r="D431" s="1923"/>
      <c r="E431" s="1923"/>
      <c r="F431" s="1923"/>
      <c r="G431" s="789"/>
    </row>
    <row r="432" spans="1:7">
      <c r="D432" s="1923"/>
      <c r="E432" s="1923"/>
      <c r="F432" s="1923"/>
      <c r="G432" s="789"/>
    </row>
    <row r="433" spans="1:7">
      <c r="D433" s="1923"/>
      <c r="E433" s="1923"/>
      <c r="F433" s="1923"/>
      <c r="G433" s="789"/>
    </row>
    <row r="434" spans="1:7">
      <c r="D434" s="1923"/>
      <c r="E434" s="1923"/>
      <c r="F434" s="1923"/>
      <c r="G434" s="789"/>
    </row>
    <row r="435" spans="1:7">
      <c r="D435" s="1923"/>
      <c r="E435" s="1923"/>
      <c r="F435" s="1923"/>
      <c r="G435" s="789"/>
    </row>
    <row r="436" spans="1:7">
      <c r="D436" s="1923"/>
      <c r="E436" s="1923"/>
      <c r="F436" s="1923"/>
      <c r="G436" s="789"/>
    </row>
    <row r="437" spans="1:7">
      <c r="D437" s="1923"/>
      <c r="E437" s="1923"/>
      <c r="F437" s="1923"/>
      <c r="G437" s="789"/>
    </row>
    <row r="438" spans="1:7">
      <c r="D438" s="1923"/>
      <c r="E438" s="1923"/>
      <c r="F438" s="1923"/>
      <c r="G438" s="789"/>
    </row>
    <row r="439" spans="1:7">
      <c r="D439" s="1923"/>
      <c r="E439" s="1923"/>
      <c r="F439" s="1923"/>
      <c r="G439" s="789"/>
    </row>
    <row r="440" spans="1:7">
      <c r="A440" s="789"/>
      <c r="B440" s="789"/>
      <c r="C440" s="789"/>
      <c r="D440" s="1923"/>
      <c r="E440" s="1923"/>
      <c r="F440" s="1923"/>
      <c r="G440" s="789"/>
    </row>
    <row r="441" spans="1:7">
      <c r="A441" s="789"/>
      <c r="B441" s="789"/>
      <c r="C441" s="789"/>
      <c r="D441" s="1923"/>
      <c r="E441" s="1923"/>
      <c r="F441" s="1923"/>
      <c r="G441" s="789"/>
    </row>
    <row r="442" spans="1:7">
      <c r="A442" s="789"/>
      <c r="B442" s="789"/>
      <c r="C442" s="789"/>
      <c r="D442" s="1923"/>
      <c r="E442" s="1923"/>
      <c r="F442" s="1923"/>
      <c r="G442" s="789"/>
    </row>
    <row r="443" spans="1:7">
      <c r="A443" s="789"/>
      <c r="B443" s="789"/>
      <c r="C443" s="789"/>
      <c r="D443" s="1923"/>
      <c r="E443" s="1923"/>
      <c r="F443" s="1923"/>
      <c r="G443" s="789"/>
    </row>
    <row r="444" spans="1:7">
      <c r="A444" s="789"/>
      <c r="B444" s="789"/>
      <c r="C444" s="789"/>
      <c r="D444" s="1923"/>
      <c r="E444" s="1923"/>
      <c r="F444" s="1923"/>
      <c r="G444" s="789"/>
    </row>
    <row r="445" spans="1:7">
      <c r="A445" s="789"/>
      <c r="B445" s="789"/>
      <c r="C445" s="789"/>
      <c r="D445" s="1923"/>
      <c r="E445" s="1923"/>
      <c r="F445" s="1923"/>
      <c r="G445" s="789"/>
    </row>
    <row r="446" spans="1:7">
      <c r="A446" s="789"/>
      <c r="B446" s="789"/>
      <c r="C446" s="789"/>
      <c r="D446" s="1923"/>
      <c r="E446" s="1923"/>
      <c r="F446" s="1923"/>
      <c r="G446" s="789"/>
    </row>
    <row r="447" spans="1:7">
      <c r="A447" s="789"/>
      <c r="B447" s="789"/>
      <c r="C447" s="789"/>
      <c r="D447" s="1923"/>
      <c r="E447" s="1923"/>
      <c r="F447" s="1923"/>
      <c r="G447" s="789"/>
    </row>
    <row r="448" spans="1:7">
      <c r="A448" s="789"/>
      <c r="B448" s="789"/>
      <c r="C448" s="789"/>
      <c r="D448" s="1923"/>
      <c r="E448" s="1923"/>
      <c r="F448" s="1923"/>
      <c r="G448" s="789"/>
    </row>
    <row r="449" spans="1:9">
      <c r="A449" s="789"/>
      <c r="B449" s="789"/>
      <c r="C449" s="789"/>
      <c r="D449" s="1923"/>
      <c r="E449" s="1923"/>
      <c r="F449" s="1923"/>
      <c r="G449" s="789"/>
    </row>
    <row r="450" spans="1:9">
      <c r="A450" s="789"/>
      <c r="B450" s="789"/>
      <c r="C450" s="789"/>
      <c r="D450" s="1923"/>
      <c r="E450" s="1923"/>
      <c r="F450" s="1923"/>
      <c r="G450" s="789"/>
    </row>
    <row r="451" spans="1:9">
      <c r="A451" s="789"/>
      <c r="B451" s="789"/>
      <c r="C451" s="789"/>
      <c r="D451" s="1923"/>
      <c r="E451" s="1923"/>
      <c r="F451" s="1923"/>
      <c r="G451" s="789"/>
    </row>
    <row r="452" spans="1:9">
      <c r="A452" s="789"/>
      <c r="B452" s="789"/>
      <c r="C452" s="789"/>
      <c r="D452" s="1923"/>
      <c r="E452" s="1923"/>
      <c r="F452" s="1923"/>
      <c r="G452" s="789"/>
    </row>
    <row r="453" spans="1:9">
      <c r="A453" s="789"/>
      <c r="B453" s="789"/>
      <c r="C453" s="789"/>
      <c r="D453" s="1923"/>
      <c r="E453" s="1923"/>
      <c r="F453" s="1923"/>
      <c r="G453" s="789"/>
    </row>
    <row r="454" spans="1:9">
      <c r="A454" s="789"/>
      <c r="B454" s="789"/>
      <c r="C454" s="789"/>
      <c r="D454" s="1923"/>
      <c r="E454" s="1923"/>
      <c r="F454" s="1923"/>
      <c r="G454" s="789"/>
    </row>
    <row r="455" spans="1:9">
      <c r="A455" s="789"/>
      <c r="B455" s="789"/>
      <c r="C455" s="789"/>
      <c r="D455" s="1923"/>
      <c r="E455" s="1923"/>
      <c r="F455" s="1923"/>
      <c r="G455" s="789"/>
    </row>
    <row r="456" spans="1:9" s="830" customFormat="1">
      <c r="A456" s="787"/>
      <c r="B456" s="787"/>
      <c r="C456" s="787"/>
      <c r="D456" s="1923"/>
      <c r="E456" s="1923"/>
      <c r="F456" s="1923"/>
      <c r="G456" s="829"/>
      <c r="I456" s="1839"/>
    </row>
    <row r="457" spans="1:9" s="830" customFormat="1" ht="40.9" customHeight="1">
      <c r="A457" s="787"/>
      <c r="B457" s="787"/>
      <c r="C457" s="787"/>
      <c r="D457" s="1923"/>
      <c r="E457" s="1923"/>
      <c r="F457" s="1923"/>
      <c r="G457" s="829"/>
      <c r="I457" s="1839"/>
    </row>
    <row r="458" spans="1:9">
      <c r="D458" s="799"/>
      <c r="E458" s="799"/>
      <c r="F458" s="799"/>
      <c r="G458" s="789"/>
    </row>
    <row r="459" spans="1:9" ht="14.25">
      <c r="A459" s="796"/>
      <c r="B459" s="797" t="s">
        <v>2590</v>
      </c>
      <c r="C459" s="828"/>
      <c r="D459" s="1923" t="s">
        <v>1321</v>
      </c>
      <c r="E459" s="1923"/>
      <c r="F459" s="1923"/>
      <c r="G459" s="789"/>
    </row>
    <row r="460" spans="1:9">
      <c r="D460" s="1923"/>
      <c r="E460" s="1923"/>
      <c r="F460" s="1923"/>
      <c r="G460" s="789"/>
    </row>
    <row r="461" spans="1:9">
      <c r="D461" s="1923"/>
      <c r="E461" s="1923"/>
      <c r="F461" s="1923"/>
      <c r="G461" s="789"/>
    </row>
    <row r="462" spans="1:9">
      <c r="D462" s="783"/>
      <c r="E462" s="783"/>
      <c r="F462" s="783"/>
      <c r="G462" s="789"/>
    </row>
    <row r="463" spans="1:9" ht="14.25">
      <c r="B463" s="797" t="s">
        <v>2590</v>
      </c>
      <c r="C463" s="796"/>
      <c r="D463" s="1959" t="s">
        <v>1400</v>
      </c>
      <c r="E463" s="1959"/>
      <c r="F463" s="1959"/>
      <c r="G463" s="789"/>
    </row>
    <row r="464" spans="1:9">
      <c r="D464" s="1959"/>
      <c r="E464" s="1959"/>
      <c r="F464" s="1959"/>
      <c r="G464" s="789"/>
    </row>
    <row r="465" spans="1:7">
      <c r="D465" s="799"/>
      <c r="E465" s="799"/>
      <c r="F465" s="799"/>
      <c r="G465" s="789"/>
    </row>
    <row r="466" spans="1:7" ht="14.25">
      <c r="B466" s="797" t="s">
        <v>2590</v>
      </c>
      <c r="C466" s="796"/>
      <c r="D466" s="1959" t="s">
        <v>1323</v>
      </c>
      <c r="E466" s="1959"/>
      <c r="F466" s="1959"/>
      <c r="G466" s="789"/>
    </row>
    <row r="467" spans="1:7">
      <c r="D467" s="1959"/>
      <c r="E467" s="1959"/>
      <c r="F467" s="1959"/>
      <c r="G467" s="789"/>
    </row>
    <row r="468" spans="1:7">
      <c r="D468" s="1959"/>
      <c r="E468" s="1959"/>
      <c r="F468" s="1959"/>
      <c r="G468" s="789"/>
    </row>
    <row r="469" spans="1:7">
      <c r="D469" s="1959"/>
      <c r="E469" s="1959"/>
      <c r="F469" s="1959"/>
      <c r="G469" s="789"/>
    </row>
    <row r="470" spans="1:7">
      <c r="B470" s="797" t="s">
        <v>2590</v>
      </c>
      <c r="D470" s="1959"/>
      <c r="E470" s="1959"/>
      <c r="F470" s="1959"/>
      <c r="G470" s="789"/>
    </row>
    <row r="471" spans="1:7">
      <c r="A471" s="789"/>
      <c r="B471" s="789"/>
      <c r="C471" s="789"/>
      <c r="D471" s="1959"/>
      <c r="E471" s="1959"/>
      <c r="F471" s="1959"/>
      <c r="G471" s="789"/>
    </row>
    <row r="472" spans="1:7">
      <c r="A472" s="789"/>
      <c r="C472" s="789"/>
      <c r="D472" s="1959"/>
      <c r="E472" s="1959"/>
      <c r="F472" s="1959"/>
      <c r="G472" s="789"/>
    </row>
    <row r="473" spans="1:7">
      <c r="A473" s="789"/>
      <c r="B473" s="797" t="s">
        <v>2590</v>
      </c>
      <c r="C473" s="789"/>
      <c r="D473" s="1959"/>
      <c r="E473" s="1959"/>
      <c r="F473" s="1959"/>
      <c r="G473" s="789"/>
    </row>
    <row r="474" spans="1:7">
      <c r="A474" s="789"/>
      <c r="B474" s="789"/>
      <c r="C474" s="789"/>
      <c r="D474" s="1959"/>
      <c r="E474" s="1959"/>
      <c r="F474" s="1959"/>
      <c r="G474" s="789"/>
    </row>
    <row r="475" spans="1:7">
      <c r="A475" s="789"/>
      <c r="C475" s="789"/>
      <c r="D475" s="1959"/>
      <c r="E475" s="1959"/>
      <c r="F475" s="1959"/>
      <c r="G475" s="789"/>
    </row>
    <row r="476" spans="1:7">
      <c r="A476" s="789"/>
      <c r="C476" s="789"/>
      <c r="D476" s="1959"/>
      <c r="E476" s="1959"/>
      <c r="F476" s="1959"/>
      <c r="G476" s="789"/>
    </row>
    <row r="477" spans="1:7">
      <c r="A477" s="789"/>
      <c r="C477" s="789"/>
      <c r="D477" s="1959"/>
      <c r="E477" s="1959"/>
      <c r="F477" s="1959"/>
      <c r="G477" s="789"/>
    </row>
    <row r="478" spans="1:7">
      <c r="A478" s="789"/>
      <c r="B478" s="797" t="s">
        <v>2590</v>
      </c>
      <c r="C478" s="789"/>
      <c r="D478" s="1959"/>
      <c r="E478" s="1959"/>
      <c r="F478" s="1959"/>
      <c r="G478" s="789"/>
    </row>
    <row r="479" spans="1:7">
      <c r="A479" s="789"/>
      <c r="C479" s="789"/>
      <c r="D479" s="1959"/>
      <c r="E479" s="1959"/>
      <c r="F479" s="1959"/>
      <c r="G479" s="789"/>
    </row>
    <row r="480" spans="1:7">
      <c r="A480" s="789"/>
      <c r="B480" s="797" t="s">
        <v>2590</v>
      </c>
      <c r="C480" s="789"/>
      <c r="D480" s="1959" t="s">
        <v>1324</v>
      </c>
      <c r="E480" s="1959"/>
      <c r="F480" s="1959"/>
      <c r="G480" s="789"/>
    </row>
    <row r="481" spans="1:9">
      <c r="A481" s="789"/>
      <c r="B481" s="789"/>
      <c r="C481" s="789"/>
      <c r="D481" s="1959"/>
      <c r="E481" s="1959"/>
      <c r="F481" s="1959"/>
      <c r="G481" s="789"/>
    </row>
    <row r="482" spans="1:9">
      <c r="A482" s="789"/>
      <c r="B482" s="789"/>
      <c r="C482" s="789"/>
      <c r="D482" s="1959"/>
      <c r="E482" s="1959"/>
      <c r="F482" s="1959"/>
      <c r="G482" s="789"/>
    </row>
    <row r="483" spans="1:9">
      <c r="A483" s="789"/>
      <c r="B483" s="789"/>
      <c r="C483" s="789"/>
      <c r="D483" s="1959"/>
      <c r="E483" s="1959"/>
      <c r="F483" s="1959"/>
      <c r="G483" s="789"/>
    </row>
    <row r="484" spans="1:9">
      <c r="D484" s="1959"/>
      <c r="E484" s="1959"/>
      <c r="F484" s="1959"/>
    </row>
    <row r="485" spans="1:9">
      <c r="D485" s="799"/>
      <c r="E485" s="799"/>
      <c r="F485" s="799"/>
    </row>
    <row r="486" spans="1:9">
      <c r="B486" s="797" t="s">
        <v>2590</v>
      </c>
      <c r="D486" s="1962" t="s">
        <v>1325</v>
      </c>
      <c r="E486" s="1962"/>
      <c r="F486" s="1962"/>
    </row>
    <row r="487" spans="1:9">
      <c r="A487" s="799"/>
      <c r="B487" s="799"/>
    </row>
    <row r="488" spans="1:9">
      <c r="A488" s="1888" t="s">
        <v>1166</v>
      </c>
      <c r="B488" s="1888"/>
      <c r="C488" s="1888"/>
      <c r="D488" s="1888"/>
      <c r="E488" s="1888"/>
      <c r="F488" s="1888"/>
      <c r="G488" s="1888"/>
      <c r="H488" s="1852"/>
      <c r="I488" s="1853"/>
    </row>
    <row r="489" spans="1:9">
      <c r="A489" s="799"/>
      <c r="B489" s="799"/>
    </row>
    <row r="490" spans="1:9">
      <c r="D490" s="1939" t="s">
        <v>947</v>
      </c>
      <c r="E490" s="1939"/>
      <c r="F490" s="1939"/>
    </row>
    <row r="491" spans="1:9" s="790" customFormat="1" ht="14.25">
      <c r="A491" s="804"/>
      <c r="B491" s="804"/>
      <c r="C491" s="800"/>
      <c r="D491" s="1940" t="s">
        <v>1326</v>
      </c>
      <c r="E491" s="1940"/>
      <c r="F491" s="1940"/>
      <c r="G491" s="801"/>
      <c r="I491" s="1836"/>
    </row>
    <row r="492" spans="1:9" s="790" customFormat="1" ht="14.25">
      <c r="A492" s="804"/>
      <c r="B492" s="804"/>
      <c r="C492" s="800"/>
      <c r="D492" s="786"/>
      <c r="E492" s="671"/>
      <c r="F492" s="671"/>
      <c r="G492" s="801"/>
      <c r="I492" s="1836"/>
    </row>
    <row r="493" spans="1:9" s="790" customFormat="1" ht="14.25">
      <c r="A493" s="796"/>
      <c r="B493" s="797" t="s">
        <v>2590</v>
      </c>
      <c r="C493" s="800"/>
      <c r="D493" s="1941" t="s">
        <v>1327</v>
      </c>
      <c r="E493" s="1941"/>
      <c r="F493" s="1941"/>
      <c r="G493" s="801"/>
      <c r="I493" s="1836" t="s">
        <v>2437</v>
      </c>
    </row>
    <row r="494" spans="1:9" s="790" customFormat="1" ht="14.25">
      <c r="A494" s="796"/>
      <c r="B494" s="796"/>
      <c r="C494" s="800"/>
      <c r="D494" s="1941"/>
      <c r="E494" s="1941"/>
      <c r="F494" s="1941"/>
      <c r="G494" s="801"/>
      <c r="I494" s="1836"/>
    </row>
    <row r="495" spans="1:9" s="790" customFormat="1" ht="14.25">
      <c r="A495" s="796"/>
      <c r="B495" s="796"/>
      <c r="C495" s="800"/>
      <c r="D495" s="784"/>
      <c r="E495" s="671"/>
      <c r="F495" s="671"/>
      <c r="G495" s="801"/>
      <c r="I495" s="1836"/>
    </row>
    <row r="496" spans="1:9" ht="12.75" customHeight="1">
      <c r="B496" s="797" t="s">
        <v>2590</v>
      </c>
      <c r="D496" s="1911" t="s">
        <v>1506</v>
      </c>
      <c r="E496" s="1911"/>
      <c r="F496" s="1911"/>
      <c r="I496" s="1773" t="s">
        <v>2438</v>
      </c>
    </row>
    <row r="497" spans="1:9" ht="14.25">
      <c r="A497" s="796"/>
      <c r="D497" s="1911"/>
      <c r="E497" s="1911"/>
      <c r="F497" s="1911"/>
    </row>
    <row r="498" spans="1:9" ht="14.25">
      <c r="A498" s="796"/>
      <c r="B498" s="796"/>
      <c r="D498" s="1911"/>
      <c r="E498" s="1911"/>
      <c r="F498" s="1911"/>
    </row>
    <row r="499" spans="1:9" ht="14.25">
      <c r="A499" s="796"/>
      <c r="B499" s="796"/>
      <c r="D499" s="1911"/>
      <c r="E499" s="1911"/>
      <c r="F499" s="1911"/>
    </row>
    <row r="500" spans="1:9" ht="14.25">
      <c r="A500" s="796"/>
      <c r="D500" s="892"/>
      <c r="E500" s="892"/>
      <c r="F500" s="892"/>
      <c r="G500" s="789"/>
    </row>
    <row r="501" spans="1:9" ht="14.25">
      <c r="A501" s="796"/>
      <c r="B501" s="797" t="s">
        <v>2590</v>
      </c>
      <c r="D501" s="1928" t="s">
        <v>1330</v>
      </c>
      <c r="E501" s="1928"/>
      <c r="F501" s="1928"/>
      <c r="G501" s="789"/>
      <c r="I501" s="1773" t="s">
        <v>2439</v>
      </c>
    </row>
    <row r="502" spans="1:9" ht="14.25">
      <c r="A502" s="796"/>
      <c r="B502" s="796"/>
      <c r="D502" s="784"/>
      <c r="E502" s="671"/>
      <c r="F502" s="671"/>
      <c r="G502" s="789"/>
    </row>
    <row r="503" spans="1:9" ht="14.25">
      <c r="A503" s="796"/>
      <c r="B503" s="797" t="s">
        <v>2590</v>
      </c>
      <c r="D503" s="1923" t="s">
        <v>1331</v>
      </c>
      <c r="E503" s="1923"/>
      <c r="F503" s="1923"/>
      <c r="G503" s="789"/>
      <c r="I503" s="1773" t="s">
        <v>2439</v>
      </c>
    </row>
    <row r="504" spans="1:9" ht="14.25">
      <c r="A504" s="796"/>
      <c r="D504" s="1923"/>
      <c r="E504" s="1923"/>
      <c r="F504" s="1923"/>
      <c r="G504" s="789"/>
    </row>
    <row r="505" spans="1:9">
      <c r="A505" s="815"/>
      <c r="B505" s="815"/>
      <c r="D505" s="732"/>
      <c r="E505" s="671"/>
      <c r="F505" s="671"/>
      <c r="G505" s="789"/>
    </row>
    <row r="506" spans="1:9">
      <c r="A506" s="815"/>
      <c r="B506" s="797" t="s">
        <v>2590</v>
      </c>
      <c r="D506" s="1928" t="s">
        <v>1332</v>
      </c>
      <c r="E506" s="1928"/>
      <c r="F506" s="1928"/>
      <c r="G506" s="789"/>
      <c r="I506" s="1773" t="s">
        <v>2494</v>
      </c>
    </row>
    <row r="507" spans="1:9" ht="14.25">
      <c r="A507" s="796"/>
      <c r="B507" s="796"/>
      <c r="D507" s="799"/>
    </row>
    <row r="508" spans="1:9">
      <c r="A508" s="1888" t="s">
        <v>1167</v>
      </c>
      <c r="B508" s="1888"/>
      <c r="C508" s="1888"/>
      <c r="D508" s="1888"/>
      <c r="E508" s="1888"/>
      <c r="F508" s="1888"/>
      <c r="G508" s="1888"/>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1964" t="s">
        <v>850</v>
      </c>
      <c r="E510" s="1964"/>
      <c r="F510" s="1964"/>
      <c r="G510" s="692"/>
      <c r="I510" s="621"/>
    </row>
    <row r="511" spans="1:9" s="721" customFormat="1">
      <c r="A511" s="800"/>
      <c r="B511" s="800"/>
      <c r="C511" s="831"/>
      <c r="D511" s="854" t="s">
        <v>1402</v>
      </c>
      <c r="E511" s="854"/>
      <c r="F511" s="854"/>
      <c r="G511" s="692"/>
      <c r="I511" s="621"/>
    </row>
    <row r="512" spans="1:9" s="721" customFormat="1">
      <c r="A512" s="800"/>
      <c r="B512" s="800"/>
      <c r="C512" s="831"/>
      <c r="D512" s="854" t="s">
        <v>1403</v>
      </c>
      <c r="E512" s="854"/>
      <c r="F512" s="854"/>
      <c r="G512" s="692"/>
      <c r="I512" s="621"/>
    </row>
    <row r="513" spans="1:9" s="721" customFormat="1">
      <c r="A513" s="800"/>
      <c r="B513" s="800"/>
      <c r="C513" s="831"/>
      <c r="D513" s="853"/>
      <c r="E513" s="853"/>
      <c r="F513" s="853"/>
      <c r="G513" s="692"/>
      <c r="I513" s="621"/>
    </row>
    <row r="514" spans="1:9" s="721" customFormat="1" ht="13.9" customHeight="1">
      <c r="A514" s="794"/>
      <c r="B514" s="797" t="s">
        <v>2589</v>
      </c>
      <c r="C514" s="798"/>
      <c r="D514" s="1922" t="s">
        <v>2265</v>
      </c>
      <c r="E514" s="1922"/>
      <c r="F514" s="1922"/>
      <c r="G514" s="671"/>
      <c r="I514" s="621" t="s">
        <v>2474</v>
      </c>
    </row>
    <row r="515" spans="1:9" s="721" customFormat="1">
      <c r="A515" s="794"/>
      <c r="B515" s="794"/>
      <c r="C515" s="798"/>
      <c r="D515" s="1922"/>
      <c r="E515" s="1922"/>
      <c r="F515" s="1922"/>
      <c r="G515" s="671"/>
      <c r="I515" s="621"/>
    </row>
    <row r="516" spans="1:9" s="721" customFormat="1">
      <c r="A516" s="794"/>
      <c r="B516" s="794"/>
      <c r="C516" s="798"/>
      <c r="D516" s="1706"/>
      <c r="E516" s="1706"/>
      <c r="F516" s="1706"/>
      <c r="G516" s="671"/>
    </row>
    <row r="517" spans="1:9" s="721" customFormat="1">
      <c r="A517" s="794"/>
      <c r="B517" s="797" t="s">
        <v>2590</v>
      </c>
      <c r="C517" s="803"/>
      <c r="D517" s="1922" t="s">
        <v>1205</v>
      </c>
      <c r="E517" s="1922"/>
      <c r="F517" s="1922"/>
      <c r="G517" s="671"/>
      <c r="I517" s="621" t="s">
        <v>2440</v>
      </c>
    </row>
    <row r="518" spans="1:9" s="721" customFormat="1">
      <c r="A518" s="794"/>
      <c r="B518" s="794"/>
      <c r="C518" s="803"/>
      <c r="D518" s="1922"/>
      <c r="E518" s="1922"/>
      <c r="F518" s="1922"/>
      <c r="G518" s="671"/>
      <c r="I518" s="621"/>
    </row>
    <row r="519" spans="1:9" s="721" customFormat="1">
      <c r="A519" s="794"/>
      <c r="B519" s="794"/>
      <c r="C519" s="798"/>
      <c r="D519" s="1922"/>
      <c r="E519" s="1922"/>
      <c r="F519" s="1922"/>
      <c r="G519" s="671"/>
      <c r="I519" s="621"/>
    </row>
    <row r="520" spans="1:9" s="721" customFormat="1">
      <c r="A520" s="794"/>
      <c r="B520" s="794"/>
      <c r="C520" s="798"/>
      <c r="D520" s="832"/>
      <c r="E520" s="671"/>
      <c r="F520" s="784"/>
      <c r="G520" s="671"/>
      <c r="I520" s="621"/>
    </row>
    <row r="521" spans="1:9" s="721" customFormat="1" ht="13.35" customHeight="1">
      <c r="A521" s="794"/>
      <c r="B521" s="797" t="s">
        <v>2590</v>
      </c>
      <c r="C521" s="798"/>
      <c r="D521" s="1968" t="s">
        <v>1231</v>
      </c>
      <c r="E521" s="1968"/>
      <c r="F521" s="1968"/>
      <c r="G521" s="671"/>
      <c r="I521" s="621" t="s">
        <v>2440</v>
      </c>
    </row>
    <row r="522" spans="1:9" s="721" customFormat="1">
      <c r="A522" s="794"/>
      <c r="B522" s="794"/>
      <c r="C522" s="798"/>
      <c r="D522" s="1968"/>
      <c r="E522" s="1968"/>
      <c r="F522" s="1968"/>
      <c r="G522" s="671"/>
      <c r="I522" s="621"/>
    </row>
    <row r="523" spans="1:9" s="721" customFormat="1" ht="12" customHeight="1">
      <c r="A523" s="799"/>
      <c r="B523" s="799"/>
      <c r="C523" s="807"/>
      <c r="D523" s="799"/>
      <c r="E523" s="671"/>
      <c r="F523" s="834"/>
      <c r="G523" s="671"/>
      <c r="I523" s="621"/>
    </row>
    <row r="524" spans="1:9">
      <c r="A524" s="1888" t="s">
        <v>1168</v>
      </c>
      <c r="B524" s="1888"/>
      <c r="C524" s="1888"/>
      <c r="D524" s="1888"/>
      <c r="E524" s="1888"/>
      <c r="F524" s="1888"/>
      <c r="G524" s="1888"/>
      <c r="H524" s="1852"/>
      <c r="I524" s="1853"/>
    </row>
    <row r="525" spans="1:9">
      <c r="A525" s="799"/>
      <c r="B525" s="799"/>
      <c r="C525" s="828"/>
      <c r="F525" s="835"/>
    </row>
    <row r="526" spans="1:9">
      <c r="B526" s="1960" t="s">
        <v>469</v>
      </c>
      <c r="C526" s="1960"/>
      <c r="D526" s="1960"/>
      <c r="E526" s="1960"/>
      <c r="F526" s="1960"/>
    </row>
    <row r="527" spans="1:9">
      <c r="A527" s="799"/>
      <c r="B527" s="799"/>
      <c r="C527" s="828"/>
      <c r="D527" s="799"/>
      <c r="F527" s="799"/>
    </row>
    <row r="528" spans="1:9">
      <c r="A528" s="1889" t="s">
        <v>1169</v>
      </c>
      <c r="B528" s="1889"/>
      <c r="C528" s="1889"/>
      <c r="D528" s="1889"/>
      <c r="E528" s="1889"/>
      <c r="F528" s="1889"/>
      <c r="G528" s="1889"/>
      <c r="H528" s="1852"/>
      <c r="I528" s="1853"/>
    </row>
    <row r="529" spans="1:9">
      <c r="A529" s="799"/>
      <c r="B529" s="799"/>
      <c r="C529" s="828"/>
      <c r="D529" s="799"/>
      <c r="F529" s="799"/>
    </row>
    <row r="530" spans="1:9">
      <c r="C530" s="828"/>
      <c r="D530" s="1878" t="s">
        <v>719</v>
      </c>
      <c r="E530" s="1878"/>
      <c r="F530" s="1878"/>
    </row>
    <row r="531" spans="1:9">
      <c r="C531" s="828"/>
      <c r="D531" s="1928" t="s">
        <v>1226</v>
      </c>
      <c r="E531" s="1928"/>
      <c r="F531" s="1928"/>
    </row>
    <row r="532" spans="1:9">
      <c r="C532" s="828"/>
      <c r="D532" s="784"/>
      <c r="E532" s="784"/>
      <c r="F532" s="784"/>
    </row>
    <row r="533" spans="1:9" ht="13.9" customHeight="1">
      <c r="A533" s="796"/>
      <c r="B533" s="797" t="s">
        <v>2589</v>
      </c>
      <c r="C533" s="828"/>
      <c r="D533" s="1928" t="s">
        <v>948</v>
      </c>
      <c r="E533" s="1928"/>
      <c r="F533" s="1928"/>
      <c r="G533" s="789"/>
      <c r="I533" s="1773" t="s">
        <v>2492</v>
      </c>
    </row>
    <row r="534" spans="1:9" ht="13.9" customHeight="1">
      <c r="A534" s="828"/>
      <c r="B534" s="828"/>
      <c r="C534" s="828"/>
      <c r="D534" s="784"/>
      <c r="E534" s="617"/>
      <c r="F534" s="617"/>
      <c r="G534" s="789"/>
    </row>
    <row r="535" spans="1:9" ht="14.25">
      <c r="A535" s="796"/>
      <c r="B535" s="797" t="s">
        <v>2589</v>
      </c>
      <c r="C535" s="828"/>
      <c r="D535" s="1923" t="s">
        <v>1227</v>
      </c>
      <c r="E535" s="1923"/>
      <c r="F535" s="1923"/>
      <c r="G535" s="789"/>
      <c r="I535" s="1773" t="s">
        <v>2492</v>
      </c>
    </row>
    <row r="536" spans="1:9">
      <c r="A536" s="828"/>
      <c r="B536" s="828"/>
      <c r="C536" s="828"/>
      <c r="D536" s="1923"/>
      <c r="E536" s="1923"/>
      <c r="F536" s="1923"/>
      <c r="G536" s="789"/>
    </row>
    <row r="537" spans="1:9">
      <c r="A537" s="828"/>
      <c r="B537" s="828"/>
      <c r="C537" s="828"/>
      <c r="D537" s="799"/>
      <c r="E537" s="799"/>
      <c r="F537" s="799"/>
      <c r="G537" s="789"/>
    </row>
    <row r="538" spans="1:9" ht="14.25">
      <c r="A538" s="796"/>
      <c r="B538" s="797" t="s">
        <v>2589</v>
      </c>
      <c r="C538" s="828"/>
      <c r="D538" s="1923" t="s">
        <v>1228</v>
      </c>
      <c r="E538" s="1923"/>
      <c r="F538" s="1923"/>
      <c r="G538" s="789"/>
      <c r="I538" s="1773" t="s">
        <v>2441</v>
      </c>
    </row>
    <row r="539" spans="1:9">
      <c r="A539" s="828"/>
      <c r="B539" s="828"/>
      <c r="C539" s="828"/>
      <c r="D539" s="1923"/>
      <c r="E539" s="1923"/>
      <c r="F539" s="1923"/>
      <c r="G539" s="789"/>
    </row>
    <row r="540" spans="1:9">
      <c r="A540" s="828"/>
      <c r="B540" s="828"/>
      <c r="C540" s="828"/>
      <c r="D540" s="799"/>
      <c r="E540" s="799"/>
      <c r="F540" s="799"/>
      <c r="G540" s="789"/>
    </row>
    <row r="541" spans="1:9" ht="14.25">
      <c r="A541" s="796"/>
      <c r="B541" s="797" t="s">
        <v>2589</v>
      </c>
      <c r="C541" s="828"/>
      <c r="D541" s="1923" t="s">
        <v>1229</v>
      </c>
      <c r="E541" s="1923"/>
      <c r="F541" s="1923"/>
      <c r="G541" s="789"/>
      <c r="I541" s="1773" t="s">
        <v>2442</v>
      </c>
    </row>
    <row r="542" spans="1:9">
      <c r="A542" s="828"/>
      <c r="B542" s="828"/>
      <c r="C542" s="828"/>
      <c r="D542" s="1923"/>
      <c r="E542" s="1923"/>
      <c r="F542" s="1923"/>
      <c r="G542" s="789"/>
    </row>
    <row r="543" spans="1:9">
      <c r="A543" s="828"/>
      <c r="B543" s="828"/>
      <c r="C543" s="828"/>
      <c r="D543" s="799"/>
      <c r="E543" s="799"/>
      <c r="F543" s="799"/>
      <c r="G543" s="789"/>
    </row>
    <row r="544" spans="1:9" ht="14.25">
      <c r="A544" s="796"/>
      <c r="B544" s="797" t="s">
        <v>2589</v>
      </c>
      <c r="C544" s="828"/>
      <c r="D544" s="1923" t="s">
        <v>1230</v>
      </c>
      <c r="E544" s="1923"/>
      <c r="F544" s="1923"/>
      <c r="G544" s="789"/>
      <c r="I544" s="1773" t="s">
        <v>2493</v>
      </c>
    </row>
    <row r="545" spans="1:9">
      <c r="A545" s="828"/>
      <c r="B545" s="828"/>
      <c r="C545" s="828"/>
      <c r="D545" s="1923"/>
      <c r="E545" s="1923"/>
      <c r="F545" s="1923"/>
      <c r="G545" s="789"/>
    </row>
    <row r="546" spans="1:9">
      <c r="A546" s="828"/>
      <c r="B546" s="828"/>
      <c r="C546" s="828"/>
      <c r="D546" s="1923"/>
      <c r="E546" s="1923"/>
      <c r="F546" s="1923"/>
      <c r="G546" s="789"/>
    </row>
    <row r="547" spans="1:9">
      <c r="A547" s="828"/>
      <c r="B547" s="828"/>
      <c r="C547" s="828"/>
      <c r="D547" s="799"/>
      <c r="E547" s="799"/>
      <c r="F547" s="799"/>
    </row>
    <row r="548" spans="1:9" ht="14.25">
      <c r="A548" s="796"/>
      <c r="B548" s="797" t="s">
        <v>2590</v>
      </c>
      <c r="C548" s="828"/>
      <c r="D548" s="1968" t="s">
        <v>1348</v>
      </c>
      <c r="E548" s="1968"/>
      <c r="F548" s="1968"/>
      <c r="I548" s="1773" t="s">
        <v>2492</v>
      </c>
    </row>
    <row r="549" spans="1:9">
      <c r="A549" s="828"/>
      <c r="B549" s="828"/>
      <c r="C549" s="828"/>
      <c r="D549" s="1968"/>
      <c r="E549" s="1968"/>
      <c r="F549" s="1968"/>
    </row>
    <row r="550" spans="1:9">
      <c r="A550" s="828"/>
      <c r="B550" s="828"/>
      <c r="C550" s="828"/>
      <c r="D550" s="799"/>
      <c r="E550" s="799"/>
      <c r="F550" s="799"/>
    </row>
    <row r="551" spans="1:9" ht="14.25">
      <c r="A551" s="796"/>
      <c r="B551" s="797" t="s">
        <v>2589</v>
      </c>
      <c r="C551" s="828"/>
      <c r="D551" s="1923" t="s">
        <v>1232</v>
      </c>
      <c r="E551" s="1923"/>
      <c r="F551" s="1923"/>
      <c r="I551" s="1773" t="s">
        <v>2492</v>
      </c>
    </row>
    <row r="552" spans="1:9">
      <c r="A552" s="828"/>
      <c r="B552" s="828"/>
      <c r="C552" s="828"/>
      <c r="D552" s="1923"/>
      <c r="E552" s="1923"/>
      <c r="F552" s="1923"/>
      <c r="G552" s="818"/>
    </row>
    <row r="553" spans="1:9">
      <c r="A553" s="828"/>
      <c r="B553" s="828"/>
      <c r="C553" s="828"/>
      <c r="D553" s="799"/>
      <c r="E553" s="799"/>
      <c r="F553" s="799"/>
      <c r="G553" s="818"/>
    </row>
    <row r="554" spans="1:9" ht="14.25">
      <c r="A554" s="796"/>
      <c r="B554" s="797" t="s">
        <v>2589</v>
      </c>
      <c r="C554" s="828"/>
      <c r="D554" s="1928" t="s">
        <v>1233</v>
      </c>
      <c r="E554" s="1928"/>
      <c r="F554" s="1928"/>
      <c r="G554" s="818"/>
      <c r="I554" s="1773" t="s">
        <v>2495</v>
      </c>
    </row>
    <row r="555" spans="1:9">
      <c r="A555" s="815"/>
      <c r="B555" s="815"/>
      <c r="C555" s="828"/>
      <c r="D555" s="1928" t="s">
        <v>880</v>
      </c>
      <c r="E555" s="1928"/>
      <c r="F555" s="1928"/>
      <c r="G555" s="818"/>
    </row>
    <row r="556" spans="1:9">
      <c r="A556" s="815"/>
      <c r="B556" s="815"/>
      <c r="C556" s="828"/>
      <c r="D556" s="671"/>
      <c r="E556" s="1971" t="s">
        <v>1234</v>
      </c>
      <c r="F556" s="1971"/>
      <c r="G556" s="818"/>
    </row>
    <row r="557" spans="1:9" ht="14.25">
      <c r="A557" s="796"/>
      <c r="B557" s="796"/>
      <c r="C557" s="828"/>
      <c r="E557" s="799"/>
      <c r="F557" s="799"/>
      <c r="G557" s="818"/>
    </row>
    <row r="558" spans="1:9" ht="14.25">
      <c r="A558" s="796"/>
      <c r="B558" s="797" t="s">
        <v>2589</v>
      </c>
      <c r="C558" s="828"/>
      <c r="D558" s="1970" t="s">
        <v>1235</v>
      </c>
      <c r="E558" s="1970"/>
      <c r="F558" s="1970"/>
      <c r="G558" s="818"/>
      <c r="I558" s="1773" t="s">
        <v>2443</v>
      </c>
    </row>
    <row r="559" spans="1:9">
      <c r="C559" s="828"/>
      <c r="D559" s="1923" t="s">
        <v>1236</v>
      </c>
      <c r="E559" s="1923"/>
      <c r="F559" s="1923"/>
      <c r="G559" s="818"/>
    </row>
    <row r="560" spans="1:9">
      <c r="A560" s="828"/>
      <c r="B560" s="828"/>
      <c r="C560" s="828"/>
      <c r="D560" s="1923"/>
      <c r="E560" s="1923"/>
      <c r="F560" s="1923"/>
      <c r="G560" s="818"/>
    </row>
    <row r="561" spans="1:9">
      <c r="A561" s="828"/>
      <c r="B561" s="828"/>
      <c r="C561" s="828"/>
      <c r="D561" s="1923"/>
      <c r="E561" s="1923"/>
      <c r="F561" s="1923"/>
      <c r="G561" s="818"/>
    </row>
    <row r="562" spans="1:9">
      <c r="A562" s="828"/>
      <c r="B562" s="828"/>
      <c r="C562" s="828"/>
      <c r="D562" s="799"/>
      <c r="E562" s="799"/>
      <c r="F562" s="799"/>
      <c r="G562" s="818"/>
    </row>
    <row r="563" spans="1:9" ht="14.25">
      <c r="A563" s="796"/>
      <c r="B563" s="797" t="s">
        <v>2589</v>
      </c>
      <c r="C563" s="828"/>
      <c r="D563" s="1923" t="s">
        <v>1237</v>
      </c>
      <c r="E563" s="1923"/>
      <c r="F563" s="1923"/>
      <c r="G563" s="818"/>
      <c r="I563" s="1773" t="s">
        <v>2444</v>
      </c>
    </row>
    <row r="564" spans="1:9" ht="14.25">
      <c r="A564" s="796"/>
      <c r="B564" s="796"/>
      <c r="C564" s="828"/>
      <c r="D564" s="1923"/>
      <c r="E564" s="1923"/>
      <c r="F564" s="1923"/>
      <c r="G564" s="818"/>
    </row>
    <row r="565" spans="1:9" ht="14.25">
      <c r="A565" s="796"/>
      <c r="B565" s="796"/>
      <c r="C565" s="828"/>
      <c r="D565" s="1923"/>
      <c r="E565" s="1923"/>
      <c r="F565" s="1923"/>
      <c r="G565" s="818"/>
    </row>
    <row r="566" spans="1:9" ht="14.25">
      <c r="A566" s="796"/>
      <c r="B566" s="796"/>
      <c r="C566" s="828"/>
      <c r="D566" s="1923"/>
      <c r="E566" s="1923"/>
      <c r="F566" s="1923"/>
      <c r="G566" s="818"/>
    </row>
    <row r="567" spans="1:9" ht="14.25">
      <c r="A567" s="796"/>
      <c r="B567" s="796"/>
      <c r="C567" s="828"/>
      <c r="D567" s="799"/>
      <c r="E567" s="799"/>
      <c r="F567" s="799"/>
      <c r="G567" s="818"/>
    </row>
    <row r="568" spans="1:9">
      <c r="A568" s="1888" t="s">
        <v>1170</v>
      </c>
      <c r="B568" s="1888"/>
      <c r="C568" s="1888"/>
      <c r="D568" s="1888"/>
      <c r="E568" s="1888"/>
      <c r="F568" s="1888"/>
      <c r="G568" s="1888"/>
      <c r="H568" s="1852"/>
      <c r="I568" s="1853"/>
    </row>
    <row r="569" spans="1:9">
      <c r="A569" s="828"/>
      <c r="B569" s="828"/>
      <c r="C569" s="828"/>
      <c r="E569" s="799"/>
      <c r="F569" s="799"/>
      <c r="G569" s="818"/>
    </row>
    <row r="570" spans="1:9" ht="12.75" customHeight="1">
      <c r="C570" s="792"/>
      <c r="D570" s="1961" t="s">
        <v>215</v>
      </c>
      <c r="E570" s="1961"/>
      <c r="F570" s="1961"/>
      <c r="G570" s="818"/>
    </row>
    <row r="571" spans="1:9">
      <c r="A571" s="794"/>
      <c r="B571" s="794"/>
      <c r="C571" s="794"/>
      <c r="D571" s="1910" t="s">
        <v>1186</v>
      </c>
      <c r="E571" s="1910"/>
      <c r="F571" s="1910"/>
      <c r="G571" s="818"/>
    </row>
    <row r="572" spans="1:9">
      <c r="A572" s="789"/>
      <c r="B572" s="789"/>
      <c r="C572" s="794"/>
      <c r="D572" s="836"/>
      <c r="G572" s="818"/>
      <c r="I572" s="1773" t="s">
        <v>2445</v>
      </c>
    </row>
    <row r="573" spans="1:9">
      <c r="A573" s="794"/>
      <c r="B573" s="797" t="s">
        <v>2589</v>
      </c>
      <c r="D573" s="1910" t="s">
        <v>954</v>
      </c>
      <c r="E573" s="1910"/>
      <c r="F573" s="1910"/>
      <c r="G573" s="818"/>
    </row>
    <row r="574" spans="1:9">
      <c r="A574" s="815"/>
      <c r="B574" s="815"/>
      <c r="D574" s="813"/>
    </row>
    <row r="575" spans="1:9">
      <c r="A575" s="815"/>
      <c r="B575" s="797" t="s">
        <v>2589</v>
      </c>
      <c r="D575" s="1911" t="s">
        <v>1187</v>
      </c>
      <c r="E575" s="1911"/>
      <c r="F575" s="1911"/>
      <c r="I575" s="1773" t="s">
        <v>2447</v>
      </c>
    </row>
    <row r="576" spans="1:9">
      <c r="A576" s="815"/>
      <c r="B576" s="815"/>
      <c r="D576" s="1911"/>
      <c r="E576" s="1911"/>
      <c r="F576" s="1911"/>
      <c r="G576" s="789"/>
      <c r="I576" s="1773" t="s">
        <v>2446</v>
      </c>
    </row>
    <row r="577" spans="1:9">
      <c r="A577" s="815"/>
      <c r="B577" s="815"/>
      <c r="D577" s="1911"/>
      <c r="E577" s="1911"/>
      <c r="F577" s="1911"/>
      <c r="G577" s="789"/>
    </row>
    <row r="578" spans="1:9">
      <c r="A578" s="815"/>
      <c r="B578" s="815"/>
      <c r="D578" s="1911"/>
      <c r="E578" s="1911"/>
      <c r="F578" s="1911"/>
      <c r="G578" s="789"/>
    </row>
    <row r="579" spans="1:9">
      <c r="A579" s="815"/>
      <c r="B579" s="797" t="s">
        <v>2590</v>
      </c>
      <c r="D579" s="1911" t="s">
        <v>1188</v>
      </c>
      <c r="E579" s="1911"/>
      <c r="F579" s="1911"/>
      <c r="G579" s="789"/>
    </row>
    <row r="580" spans="1:9">
      <c r="A580" s="815"/>
      <c r="B580" s="815"/>
      <c r="D580" s="1911"/>
      <c r="E580" s="1911"/>
      <c r="F580" s="1911"/>
      <c r="G580" s="789"/>
    </row>
    <row r="581" spans="1:9">
      <c r="A581" s="815"/>
      <c r="B581" s="815"/>
      <c r="D581" s="1911"/>
      <c r="E581" s="1911"/>
      <c r="F581" s="1911"/>
      <c r="G581" s="789"/>
    </row>
    <row r="582" spans="1:9">
      <c r="A582" s="815"/>
      <c r="B582" s="815"/>
      <c r="D582" s="1911"/>
      <c r="E582" s="1911"/>
      <c r="F582" s="1911"/>
      <c r="G582" s="789"/>
    </row>
    <row r="583" spans="1:9">
      <c r="A583" s="815"/>
      <c r="B583" s="815"/>
      <c r="D583" s="782"/>
      <c r="E583" s="782"/>
      <c r="F583" s="782"/>
      <c r="G583" s="789"/>
    </row>
    <row r="584" spans="1:9">
      <c r="A584" s="815"/>
      <c r="B584" s="797" t="s">
        <v>2589</v>
      </c>
      <c r="D584" s="1911" t="s">
        <v>1189</v>
      </c>
      <c r="E584" s="1911"/>
      <c r="F584" s="1911"/>
      <c r="G584" s="789"/>
    </row>
    <row r="585" spans="1:9">
      <c r="A585" s="815"/>
      <c r="B585" s="815"/>
      <c r="D585" s="1911"/>
      <c r="E585" s="1911"/>
      <c r="F585" s="1911"/>
      <c r="G585" s="789"/>
    </row>
    <row r="586" spans="1:9">
      <c r="A586" s="815"/>
      <c r="B586" s="815"/>
      <c r="D586" s="836"/>
      <c r="G586" s="789"/>
    </row>
    <row r="587" spans="1:9">
      <c r="A587" s="815"/>
      <c r="B587" s="797" t="s">
        <v>2590</v>
      </c>
      <c r="D587" s="1910" t="s">
        <v>1190</v>
      </c>
      <c r="E587" s="1910"/>
      <c r="F587" s="1910"/>
      <c r="G587" s="789"/>
      <c r="I587" s="1773" t="s">
        <v>2496</v>
      </c>
    </row>
    <row r="588" spans="1:9">
      <c r="A588" s="815"/>
      <c r="B588" s="815"/>
      <c r="D588" s="1910"/>
      <c r="E588" s="1910"/>
      <c r="F588" s="1910"/>
      <c r="G588" s="789"/>
    </row>
    <row r="589" spans="1:9" ht="14.25">
      <c r="A589" s="796"/>
      <c r="B589" s="796"/>
      <c r="D589" s="836"/>
      <c r="G589" s="789"/>
    </row>
    <row r="590" spans="1:9">
      <c r="A590" s="1888" t="s">
        <v>1171</v>
      </c>
      <c r="B590" s="1888"/>
      <c r="C590" s="1888"/>
      <c r="D590" s="1888"/>
      <c r="E590" s="1888"/>
      <c r="F590" s="1888"/>
      <c r="G590" s="1888"/>
      <c r="H590" s="1852"/>
      <c r="I590" s="1853"/>
    </row>
    <row r="591" spans="1:9"/>
    <row r="592" spans="1:9">
      <c r="D592" s="1878" t="s">
        <v>1271</v>
      </c>
      <c r="E592" s="1878"/>
      <c r="F592" s="1878"/>
    </row>
    <row r="593" spans="1:9">
      <c r="D593" s="1879" t="s">
        <v>1272</v>
      </c>
      <c r="E593" s="1879"/>
      <c r="F593" s="1879"/>
    </row>
    <row r="594" spans="1:9">
      <c r="D594" s="779"/>
      <c r="E594" s="721"/>
      <c r="F594" s="721"/>
    </row>
    <row r="595" spans="1:9" s="790" customFormat="1" ht="14.25">
      <c r="A595" s="804"/>
      <c r="B595" s="797" t="s">
        <v>2589</v>
      </c>
      <c r="C595" s="800"/>
      <c r="D595" s="1880" t="s">
        <v>1273</v>
      </c>
      <c r="E595" s="1880"/>
      <c r="F595" s="1880"/>
      <c r="G595" s="801"/>
      <c r="I595" s="1836" t="s">
        <v>2475</v>
      </c>
    </row>
    <row r="596" spans="1:9">
      <c r="D596" s="1880"/>
      <c r="E596" s="1880"/>
      <c r="F596" s="1880"/>
    </row>
    <row r="597" spans="1:9">
      <c r="D597" s="1880"/>
      <c r="E597" s="1880"/>
      <c r="F597" s="1880"/>
    </row>
    <row r="598" spans="1:9"/>
    <row r="599" spans="1:9">
      <c r="A599" s="1888" t="s">
        <v>1172</v>
      </c>
      <c r="B599" s="1888"/>
      <c r="C599" s="1888"/>
      <c r="D599" s="1888"/>
      <c r="E599" s="1888"/>
      <c r="F599" s="1888"/>
      <c r="G599" s="1888"/>
      <c r="H599" s="1852"/>
      <c r="I599" s="1853"/>
    </row>
    <row r="600" spans="1:9">
      <c r="A600" s="799"/>
      <c r="B600" s="799"/>
      <c r="G600" s="818"/>
    </row>
    <row r="601" spans="1:9">
      <c r="A601" s="837"/>
      <c r="B601" s="837"/>
      <c r="C601" s="792"/>
      <c r="D601" s="1881" t="s">
        <v>1274</v>
      </c>
      <c r="E601" s="1881"/>
      <c r="F601" s="1881"/>
      <c r="G601" s="818"/>
    </row>
    <row r="602" spans="1:9">
      <c r="A602" s="837"/>
      <c r="B602" s="837"/>
      <c r="C602" s="792"/>
      <c r="D602" s="1881"/>
      <c r="E602" s="1881"/>
      <c r="F602" s="1881"/>
      <c r="G602" s="818"/>
    </row>
    <row r="603" spans="1:9">
      <c r="C603" s="794"/>
      <c r="D603" s="1879" t="s">
        <v>1275</v>
      </c>
      <c r="E603" s="1879"/>
      <c r="F603" s="1879"/>
      <c r="G603" s="818"/>
    </row>
    <row r="604" spans="1:9">
      <c r="C604" s="794"/>
      <c r="D604" s="779"/>
      <c r="E604" s="779"/>
      <c r="F604" s="779"/>
      <c r="G604" s="818"/>
    </row>
    <row r="605" spans="1:9" ht="12.75" customHeight="1">
      <c r="A605" s="815"/>
      <c r="B605" s="797" t="s">
        <v>2589</v>
      </c>
      <c r="D605" s="1882" t="s">
        <v>1276</v>
      </c>
      <c r="E605" s="1882"/>
      <c r="F605" s="1882"/>
      <c r="G605" s="818"/>
      <c r="I605" s="1773" t="s">
        <v>2497</v>
      </c>
    </row>
    <row r="606" spans="1:9">
      <c r="D606" s="1882"/>
      <c r="E606" s="1882"/>
      <c r="F606" s="1882"/>
      <c r="G606" s="818"/>
    </row>
    <row r="607" spans="1:9">
      <c r="D607" s="789"/>
      <c r="G607" s="818"/>
    </row>
    <row r="608" spans="1:9">
      <c r="B608" s="797" t="s">
        <v>2589</v>
      </c>
      <c r="D608" s="1882" t="s">
        <v>1277</v>
      </c>
      <c r="E608" s="1882"/>
      <c r="F608" s="1882"/>
      <c r="G608" s="818"/>
      <c r="I608" s="1773" t="s">
        <v>2448</v>
      </c>
    </row>
    <row r="609" spans="1:9">
      <c r="C609" s="838"/>
      <c r="D609" s="1882"/>
      <c r="E609" s="1882"/>
      <c r="F609" s="1882"/>
      <c r="G609" s="818"/>
    </row>
    <row r="610" spans="1:9">
      <c r="C610" s="838"/>
      <c r="G610" s="818"/>
    </row>
    <row r="611" spans="1:9">
      <c r="B611" s="797" t="s">
        <v>2590</v>
      </c>
      <c r="C611" s="838"/>
      <c r="D611" s="1882" t="s">
        <v>1278</v>
      </c>
      <c r="E611" s="1882"/>
      <c r="F611" s="1882"/>
      <c r="G611" s="818"/>
      <c r="I611" s="1773" t="s">
        <v>2498</v>
      </c>
    </row>
    <row r="612" spans="1:9">
      <c r="C612" s="838"/>
      <c r="D612" s="1882"/>
      <c r="E612" s="1882"/>
      <c r="F612" s="1882"/>
      <c r="G612" s="818"/>
      <c r="I612" s="1849" t="s">
        <v>2499</v>
      </c>
    </row>
    <row r="613" spans="1:9">
      <c r="C613" s="838"/>
      <c r="G613" s="818"/>
    </row>
    <row r="614" spans="1:9">
      <c r="A614" s="1888" t="s">
        <v>1173</v>
      </c>
      <c r="B614" s="1888"/>
      <c r="C614" s="1888"/>
      <c r="D614" s="1888"/>
      <c r="E614" s="1888"/>
      <c r="F614" s="1888"/>
      <c r="G614" s="1888"/>
      <c r="H614" s="1852"/>
      <c r="I614" s="1853"/>
    </row>
    <row r="615" spans="1:9">
      <c r="A615" s="839"/>
      <c r="B615" s="839"/>
      <c r="C615" s="839"/>
      <c r="G615" s="818"/>
    </row>
    <row r="616" spans="1:9">
      <c r="C616" s="815"/>
      <c r="D616" s="1878" t="s">
        <v>1279</v>
      </c>
      <c r="E616" s="1878"/>
      <c r="F616" s="1878"/>
      <c r="G616" s="818"/>
    </row>
    <row r="617" spans="1:9">
      <c r="A617" s="815"/>
      <c r="B617" s="815"/>
      <c r="C617" s="817"/>
      <c r="D617" s="793"/>
      <c r="G617" s="818"/>
    </row>
    <row r="618" spans="1:9" ht="14.25">
      <c r="A618" s="796"/>
      <c r="B618" s="797" t="s">
        <v>2589</v>
      </c>
      <c r="C618" s="817"/>
      <c r="D618" s="1923" t="s">
        <v>1500</v>
      </c>
      <c r="E618" s="1923"/>
      <c r="F618" s="1923"/>
      <c r="G618" s="818"/>
      <c r="I618" s="1773" t="s">
        <v>2476</v>
      </c>
    </row>
    <row r="619" spans="1:9">
      <c r="C619" s="817"/>
      <c r="D619" s="1923"/>
      <c r="E619" s="1923"/>
      <c r="F619" s="1923"/>
      <c r="G619" s="818"/>
    </row>
    <row r="620" spans="1:9">
      <c r="C620" s="817"/>
      <c r="D620" s="1923"/>
      <c r="E620" s="1923"/>
      <c r="F620" s="1923"/>
      <c r="G620" s="818"/>
    </row>
    <row r="621" spans="1:9">
      <c r="C621" s="817"/>
      <c r="D621" s="1923"/>
      <c r="E621" s="1923"/>
      <c r="F621" s="1923"/>
      <c r="G621" s="818"/>
    </row>
    <row r="622" spans="1:9">
      <c r="C622" s="817"/>
      <c r="D622" s="1923"/>
      <c r="E622" s="1923"/>
      <c r="F622" s="1923"/>
      <c r="G622" s="818"/>
    </row>
    <row r="623" spans="1:9">
      <c r="C623" s="817"/>
      <c r="D623" s="1923"/>
      <c r="E623" s="1923"/>
      <c r="F623" s="1923"/>
      <c r="G623" s="818"/>
    </row>
    <row r="624" spans="1:9">
      <c r="C624" s="817"/>
      <c r="D624" s="783"/>
      <c r="E624" s="783"/>
      <c r="F624" s="783"/>
      <c r="G624" s="818"/>
    </row>
    <row r="625" spans="1:9" ht="14.25">
      <c r="A625" s="796"/>
      <c r="B625" s="797" t="s">
        <v>2590</v>
      </c>
      <c r="C625" s="817"/>
      <c r="D625" s="1923" t="s">
        <v>1281</v>
      </c>
      <c r="E625" s="1923"/>
      <c r="F625" s="1923"/>
      <c r="G625" s="818"/>
      <c r="I625" s="1773" t="s">
        <v>2500</v>
      </c>
    </row>
    <row r="626" spans="1:9">
      <c r="A626" s="828"/>
      <c r="B626" s="828"/>
      <c r="C626" s="828"/>
      <c r="D626" s="1923"/>
      <c r="E626" s="1923"/>
      <c r="F626" s="1923"/>
      <c r="G626" s="818"/>
    </row>
    <row r="627" spans="1:9">
      <c r="A627" s="828"/>
      <c r="B627" s="828"/>
      <c r="C627" s="828"/>
      <c r="D627" s="784"/>
      <c r="E627" s="840"/>
      <c r="F627" s="840"/>
      <c r="G627" s="818"/>
    </row>
    <row r="628" spans="1:9" ht="14.25">
      <c r="A628" s="796"/>
      <c r="B628" s="797" t="s">
        <v>2590</v>
      </c>
      <c r="C628" s="828"/>
      <c r="D628" s="1880" t="s">
        <v>1438</v>
      </c>
      <c r="E628" s="1880"/>
      <c r="F628" s="1880"/>
      <c r="G628" s="818"/>
      <c r="I628" s="1773" t="s">
        <v>2449</v>
      </c>
    </row>
    <row r="629" spans="1:9" ht="14.25">
      <c r="A629" s="796"/>
      <c r="B629" s="796"/>
      <c r="C629" s="828"/>
      <c r="D629" s="1880"/>
      <c r="E629" s="1880"/>
      <c r="F629" s="1880"/>
      <c r="G629" s="818"/>
    </row>
    <row r="630" spans="1:9" ht="14.25">
      <c r="A630" s="796"/>
      <c r="B630" s="796"/>
      <c r="C630" s="828"/>
      <c r="D630" s="1880"/>
      <c r="E630" s="1880"/>
      <c r="F630" s="1880"/>
      <c r="G630" s="818"/>
    </row>
    <row r="631" spans="1:9">
      <c r="A631" s="828"/>
      <c r="B631" s="797" t="s">
        <v>2590</v>
      </c>
      <c r="C631" s="828"/>
      <c r="D631" s="1928" t="s">
        <v>1283</v>
      </c>
      <c r="E631" s="1928"/>
      <c r="F631" s="1928"/>
      <c r="G631" s="818"/>
      <c r="I631" s="1773" t="s">
        <v>2449</v>
      </c>
    </row>
    <row r="632" spans="1:9">
      <c r="A632" s="828"/>
      <c r="B632" s="828"/>
      <c r="C632" s="828"/>
      <c r="D632" s="726"/>
      <c r="E632" s="726"/>
      <c r="F632" s="726"/>
      <c r="G632" s="818"/>
    </row>
    <row r="633" spans="1:9">
      <c r="A633" s="1888" t="s">
        <v>1174</v>
      </c>
      <c r="B633" s="1888"/>
      <c r="C633" s="1888"/>
      <c r="D633" s="1888"/>
      <c r="E633" s="1888"/>
      <c r="F633" s="1888"/>
      <c r="G633" s="1888"/>
      <c r="H633" s="1852"/>
      <c r="I633" s="1853"/>
    </row>
    <row r="634" spans="1:9">
      <c r="A634" s="799"/>
      <c r="B634" s="799"/>
      <c r="C634" s="828"/>
      <c r="D634" s="840"/>
      <c r="E634" s="840"/>
      <c r="F634" s="840"/>
      <c r="G634" s="818"/>
    </row>
    <row r="635" spans="1:9">
      <c r="C635" s="839"/>
      <c r="D635" s="1988" t="s">
        <v>1333</v>
      </c>
      <c r="E635" s="1988"/>
      <c r="F635" s="1988"/>
      <c r="G635" s="818"/>
    </row>
    <row r="636" spans="1:9">
      <c r="A636" s="794"/>
      <c r="B636" s="794"/>
      <c r="C636" s="794"/>
      <c r="D636" s="1989" t="s">
        <v>1334</v>
      </c>
      <c r="E636" s="1989"/>
      <c r="F636" s="1989"/>
      <c r="G636" s="818"/>
    </row>
    <row r="637" spans="1:9">
      <c r="A637" s="794"/>
      <c r="B637" s="794"/>
      <c r="C637" s="794"/>
      <c r="D637" s="726"/>
      <c r="E637" s="726"/>
      <c r="F637" s="726"/>
      <c r="G637" s="818"/>
    </row>
    <row r="638" spans="1:9" ht="12.75" customHeight="1">
      <c r="B638" s="797" t="s">
        <v>2589</v>
      </c>
      <c r="C638" s="828"/>
      <c r="D638" s="1965" t="s">
        <v>1521</v>
      </c>
      <c r="E638" s="1965"/>
      <c r="F638" s="1965"/>
      <c r="I638" s="1773" t="s">
        <v>2503</v>
      </c>
    </row>
    <row r="639" spans="1:9">
      <c r="D639" s="1965"/>
      <c r="E639" s="1965"/>
      <c r="F639" s="1965"/>
    </row>
    <row r="640" spans="1:9">
      <c r="D640" s="1965"/>
      <c r="E640" s="1965"/>
      <c r="F640" s="1965"/>
    </row>
    <row r="641" spans="1:9">
      <c r="D641" s="1965"/>
      <c r="E641" s="1965"/>
      <c r="F641" s="1965"/>
    </row>
    <row r="642" spans="1:9" ht="14.65" customHeight="1">
      <c r="A642" s="796"/>
      <c r="B642" s="796"/>
      <c r="C642" s="828"/>
      <c r="D642" s="899"/>
      <c r="E642" s="899"/>
      <c r="F642" s="899"/>
      <c r="G642" s="818"/>
    </row>
    <row r="643" spans="1:9" ht="12.75" customHeight="1">
      <c r="A643" s="794"/>
      <c r="B643" s="797" t="s">
        <v>2589</v>
      </c>
      <c r="C643" s="828"/>
      <c r="D643" s="1965" t="s">
        <v>1524</v>
      </c>
      <c r="E643" s="1965"/>
      <c r="F643" s="1965"/>
      <c r="G643" s="818"/>
      <c r="I643" s="1773" t="s">
        <v>2503</v>
      </c>
    </row>
    <row r="644" spans="1:9" ht="14.25">
      <c r="A644" s="794"/>
      <c r="B644" s="796"/>
      <c r="C644" s="828"/>
      <c r="D644" s="1965"/>
      <c r="E644" s="1965"/>
      <c r="F644" s="1965"/>
      <c r="G644" s="818"/>
    </row>
    <row r="645" spans="1:9" ht="14.25">
      <c r="A645" s="794"/>
      <c r="B645" s="796"/>
      <c r="C645" s="828"/>
      <c r="D645" s="1965"/>
      <c r="E645" s="1965"/>
      <c r="F645" s="1965"/>
      <c r="G645" s="818"/>
    </row>
    <row r="646" spans="1:9" ht="14.25">
      <c r="A646" s="794"/>
      <c r="B646" s="796"/>
      <c r="C646" s="828"/>
      <c r="D646" s="1965"/>
      <c r="E646" s="1965"/>
      <c r="F646" s="1965"/>
      <c r="G646" s="818"/>
    </row>
    <row r="647" spans="1:9" ht="14.25">
      <c r="A647" s="794"/>
      <c r="B647" s="796"/>
      <c r="C647" s="828"/>
      <c r="D647" s="1965"/>
      <c r="E647" s="1965"/>
      <c r="F647" s="1965"/>
      <c r="G647" s="818"/>
    </row>
    <row r="648" spans="1:9" ht="14.25" customHeight="1">
      <c r="A648" s="794"/>
      <c r="B648" s="796"/>
      <c r="C648" s="828"/>
      <c r="F648" s="900"/>
      <c r="G648" s="818"/>
    </row>
    <row r="649" spans="1:9" ht="12.75" customHeight="1">
      <c r="A649" s="794"/>
      <c r="B649" s="797" t="s">
        <v>2589</v>
      </c>
      <c r="C649" s="828"/>
      <c r="D649" s="1965" t="s">
        <v>1522</v>
      </c>
      <c r="E649" s="1965"/>
      <c r="F649" s="1965"/>
      <c r="G649" s="818"/>
      <c r="I649" s="1773" t="s">
        <v>2503</v>
      </c>
    </row>
    <row r="650" spans="1:9" ht="14.25">
      <c r="A650" s="794"/>
      <c r="B650" s="796"/>
      <c r="C650" s="828"/>
      <c r="D650" s="1965"/>
      <c r="E650" s="1965"/>
      <c r="F650" s="1965"/>
      <c r="G650" s="818"/>
    </row>
    <row r="651" spans="1:9" ht="14.25">
      <c r="A651" s="796"/>
      <c r="B651" s="796"/>
      <c r="C651" s="828"/>
      <c r="D651" s="1965"/>
      <c r="E651" s="1965"/>
      <c r="F651" s="1965"/>
      <c r="G651" s="818"/>
    </row>
    <row r="652" spans="1:9" ht="14.25">
      <c r="A652" s="796"/>
      <c r="B652" s="796"/>
      <c r="C652" s="828"/>
      <c r="D652" s="1965"/>
      <c r="E652" s="1965"/>
      <c r="F652" s="1965"/>
      <c r="G652" s="818"/>
    </row>
    <row r="653" spans="1:9" ht="14.25">
      <c r="A653" s="796"/>
      <c r="B653" s="796"/>
      <c r="C653" s="828"/>
      <c r="D653" s="891"/>
      <c r="E653" s="891"/>
      <c r="F653" s="891"/>
      <c r="G653" s="818"/>
    </row>
    <row r="654" spans="1:9" ht="12.75" customHeight="1">
      <c r="A654" s="794"/>
      <c r="B654" s="797" t="s">
        <v>2590</v>
      </c>
      <c r="C654" s="828"/>
      <c r="D654" s="1965" t="s">
        <v>1523</v>
      </c>
      <c r="E654" s="1965"/>
      <c r="F654" s="1965"/>
      <c r="G654" s="818"/>
      <c r="I654" s="1773" t="s">
        <v>2503</v>
      </c>
    </row>
    <row r="655" spans="1:9" ht="12.75" customHeight="1">
      <c r="A655" s="794"/>
      <c r="B655" s="796"/>
      <c r="C655" s="828"/>
      <c r="D655" s="1965"/>
      <c r="E655" s="1965"/>
      <c r="F655" s="1965"/>
      <c r="G655" s="818"/>
    </row>
    <row r="656" spans="1:9" ht="12.75" customHeight="1">
      <c r="A656" s="794"/>
      <c r="B656" s="796"/>
      <c r="C656" s="828"/>
      <c r="D656" s="1965"/>
      <c r="E656" s="1965"/>
      <c r="F656" s="1965"/>
      <c r="G656" s="818"/>
    </row>
    <row r="657" spans="1:11" ht="12.75" customHeight="1">
      <c r="A657" s="794"/>
      <c r="B657" s="796"/>
      <c r="C657" s="828"/>
      <c r="D657" s="1965"/>
      <c r="E657" s="1965"/>
      <c r="F657" s="1965"/>
      <c r="G657" s="818"/>
    </row>
    <row r="658" spans="1:11" ht="12.75" customHeight="1">
      <c r="A658" s="794"/>
      <c r="B658" s="796"/>
      <c r="C658" s="828"/>
      <c r="D658" s="1965"/>
      <c r="E658" s="1965"/>
      <c r="F658" s="1965"/>
      <c r="G658" s="818"/>
    </row>
    <row r="659" spans="1:11" ht="12.75" customHeight="1">
      <c r="A659" s="794"/>
      <c r="B659" s="796"/>
      <c r="C659" s="828"/>
      <c r="D659" s="1965"/>
      <c r="E659" s="1965"/>
      <c r="F659" s="1965"/>
      <c r="G659" s="818"/>
    </row>
    <row r="660" spans="1:11" ht="12.75" customHeight="1">
      <c r="A660" s="794"/>
      <c r="B660" s="796"/>
      <c r="C660" s="828"/>
      <c r="D660" s="1965"/>
      <c r="E660" s="1965"/>
      <c r="F660" s="1965"/>
      <c r="G660" s="818"/>
    </row>
    <row r="661" spans="1:11" ht="12.75" customHeight="1">
      <c r="A661" s="794"/>
      <c r="B661" s="796"/>
      <c r="C661" s="828"/>
      <c r="D661" s="1965"/>
      <c r="E661" s="1965"/>
      <c r="F661" s="1965"/>
      <c r="G661" s="818"/>
    </row>
    <row r="662" spans="1:11" ht="12.75" customHeight="1">
      <c r="A662" s="794"/>
      <c r="B662" s="796"/>
      <c r="C662" s="828"/>
      <c r="D662" s="1965"/>
      <c r="E662" s="1965"/>
      <c r="F662" s="1965"/>
      <c r="G662" s="818"/>
    </row>
    <row r="663" spans="1:11">
      <c r="A663" s="828"/>
      <c r="B663" s="828"/>
      <c r="C663" s="828"/>
      <c r="D663" s="840"/>
      <c r="E663" s="840"/>
      <c r="F663" s="840"/>
      <c r="G663" s="818"/>
    </row>
    <row r="664" spans="1:11">
      <c r="A664" s="1888" t="s">
        <v>1175</v>
      </c>
      <c r="B664" s="1888"/>
      <c r="C664" s="1888"/>
      <c r="D664" s="1888"/>
      <c r="E664" s="1888"/>
      <c r="F664" s="1888"/>
      <c r="G664" s="1888"/>
      <c r="H664" s="1854"/>
      <c r="I664" s="1855"/>
      <c r="J664" s="841"/>
      <c r="K664" s="841"/>
    </row>
    <row r="665" spans="1:11">
      <c r="A665" s="734"/>
      <c r="B665" s="734"/>
      <c r="C665" s="734"/>
      <c r="D665" s="734"/>
      <c r="E665" s="734"/>
      <c r="F665" s="734"/>
      <c r="G665" s="734"/>
      <c r="H665" s="841"/>
      <c r="I665" s="1840"/>
      <c r="J665" s="841"/>
      <c r="K665" s="841"/>
    </row>
    <row r="666" spans="1:11">
      <c r="C666" s="839"/>
      <c r="D666" s="1878" t="s">
        <v>104</v>
      </c>
      <c r="E666" s="1878"/>
      <c r="F666" s="1878"/>
      <c r="G666" s="818"/>
      <c r="H666" s="841"/>
      <c r="I666" s="1840"/>
      <c r="J666" s="841"/>
      <c r="K666" s="841"/>
    </row>
    <row r="667" spans="1:11">
      <c r="A667" s="839"/>
      <c r="B667" s="839"/>
      <c r="C667" s="839"/>
      <c r="D667" s="1878" t="s">
        <v>128</v>
      </c>
      <c r="E667" s="1878"/>
      <c r="F667" s="1878"/>
      <c r="G667" s="818"/>
      <c r="H667" s="841"/>
      <c r="I667" s="1840"/>
      <c r="J667" s="841"/>
      <c r="K667" s="841"/>
    </row>
    <row r="668" spans="1:11">
      <c r="A668" s="794"/>
      <c r="B668" s="794"/>
      <c r="C668" s="794"/>
      <c r="D668" s="1928" t="s">
        <v>1211</v>
      </c>
      <c r="E668" s="1928"/>
      <c r="F668" s="1928"/>
      <c r="G668" s="818"/>
      <c r="H668" s="841"/>
      <c r="I668" s="1840"/>
      <c r="J668" s="841"/>
      <c r="K668" s="841"/>
    </row>
    <row r="669" spans="1:11">
      <c r="A669" s="794"/>
      <c r="B669" s="794"/>
      <c r="C669" s="794"/>
      <c r="G669" s="818"/>
      <c r="H669" s="841"/>
      <c r="I669" s="1840"/>
      <c r="J669" s="841"/>
      <c r="K669" s="841"/>
    </row>
    <row r="670" spans="1:11" ht="14.25">
      <c r="A670" s="796"/>
      <c r="B670" s="797" t="s">
        <v>2589</v>
      </c>
      <c r="C670" s="794"/>
      <c r="D670" s="1928" t="s">
        <v>950</v>
      </c>
      <c r="E670" s="1928"/>
      <c r="F670" s="1928"/>
      <c r="G670" s="818"/>
      <c r="H670" s="841"/>
      <c r="I670" s="1840" t="s">
        <v>2477</v>
      </c>
      <c r="J670" s="841"/>
      <c r="K670" s="841"/>
    </row>
    <row r="671" spans="1:11">
      <c r="A671" s="794"/>
      <c r="B671" s="794"/>
      <c r="C671" s="794"/>
      <c r="D671" s="1928" t="s">
        <v>961</v>
      </c>
      <c r="E671" s="1928"/>
      <c r="F671" s="1928"/>
      <c r="G671" s="818"/>
      <c r="H671" s="841"/>
      <c r="I671" s="1840"/>
      <c r="J671" s="841"/>
      <c r="K671" s="841"/>
    </row>
    <row r="672" spans="1:11">
      <c r="A672" s="794"/>
      <c r="B672" s="794"/>
      <c r="C672" s="794"/>
      <c r="D672" s="671"/>
      <c r="E672" s="1974" t="s">
        <v>1212</v>
      </c>
      <c r="F672" s="1974"/>
      <c r="G672" s="818"/>
      <c r="H672" s="841"/>
      <c r="I672" s="1840"/>
      <c r="J672" s="841"/>
      <c r="K672" s="841"/>
    </row>
    <row r="673" spans="1:11">
      <c r="A673" s="794"/>
      <c r="B673" s="794"/>
      <c r="C673" s="794"/>
      <c r="D673" s="671"/>
      <c r="E673" s="1974"/>
      <c r="F673" s="1974"/>
      <c r="G673" s="818"/>
      <c r="H673" s="841"/>
      <c r="I673" s="1840"/>
      <c r="J673" s="841"/>
      <c r="K673" s="841"/>
    </row>
    <row r="674" spans="1:11">
      <c r="A674" s="794"/>
      <c r="B674" s="794"/>
      <c r="C674" s="794"/>
      <c r="D674" s="842"/>
      <c r="E674" s="799"/>
      <c r="G674" s="818"/>
      <c r="H674" s="841"/>
      <c r="I674" s="1840"/>
      <c r="J674" s="841"/>
      <c r="K674" s="841"/>
    </row>
    <row r="675" spans="1:11" ht="14.25">
      <c r="A675" s="796"/>
      <c r="B675" s="797" t="s">
        <v>2590</v>
      </c>
      <c r="C675" s="794"/>
      <c r="D675" s="1923" t="s">
        <v>1404</v>
      </c>
      <c r="E675" s="1923"/>
      <c r="F675" s="1923"/>
      <c r="G675" s="818"/>
      <c r="H675" s="841"/>
      <c r="I675" s="1840" t="s">
        <v>2501</v>
      </c>
      <c r="J675" s="841"/>
      <c r="K675" s="841"/>
    </row>
    <row r="676" spans="1:11">
      <c r="A676" s="815"/>
      <c r="B676" s="815"/>
      <c r="C676" s="794"/>
      <c r="D676" s="1923"/>
      <c r="E676" s="1923"/>
      <c r="F676" s="1923"/>
      <c r="G676" s="818"/>
      <c r="H676" s="841"/>
      <c r="I676" s="1840"/>
      <c r="J676" s="841"/>
      <c r="K676" s="841"/>
    </row>
    <row r="677" spans="1:11">
      <c r="A677" s="794"/>
      <c r="B677" s="794"/>
      <c r="C677" s="794"/>
      <c r="D677" s="1923"/>
      <c r="E677" s="1923"/>
      <c r="F677" s="1923"/>
      <c r="G677" s="818"/>
      <c r="H677" s="841"/>
      <c r="I677" s="1840"/>
      <c r="J677" s="841"/>
      <c r="K677" s="841"/>
    </row>
    <row r="678" spans="1:11">
      <c r="A678" s="794"/>
      <c r="B678" s="794"/>
      <c r="C678" s="794"/>
      <c r="G678" s="818"/>
      <c r="H678" s="841"/>
      <c r="I678" s="1840" t="s">
        <v>2478</v>
      </c>
      <c r="J678" s="841"/>
      <c r="K678" s="841"/>
    </row>
    <row r="679" spans="1:11" ht="14.25">
      <c r="A679" s="796"/>
      <c r="B679" s="797" t="s">
        <v>2589</v>
      </c>
      <c r="C679" s="794"/>
      <c r="D679" s="1928" t="s">
        <v>990</v>
      </c>
      <c r="E679" s="1928"/>
      <c r="F679" s="1928"/>
      <c r="G679" s="818"/>
      <c r="H679" s="841"/>
      <c r="I679" s="1840"/>
      <c r="J679" s="841"/>
      <c r="K679" s="841"/>
    </row>
    <row r="680" spans="1:11" ht="14.25">
      <c r="A680" s="796"/>
      <c r="B680" s="796"/>
      <c r="C680" s="794"/>
      <c r="D680" s="1928" t="s">
        <v>961</v>
      </c>
      <c r="E680" s="1928"/>
      <c r="F680" s="1928"/>
      <c r="G680" s="818"/>
      <c r="H680" s="841"/>
      <c r="I680" s="1840"/>
      <c r="J680" s="841"/>
      <c r="K680" s="841"/>
    </row>
    <row r="681" spans="1:11">
      <c r="A681" s="794"/>
      <c r="B681" s="794"/>
      <c r="C681" s="794"/>
      <c r="D681" s="671"/>
      <c r="E681" s="1971" t="s">
        <v>1214</v>
      </c>
      <c r="F681" s="1971"/>
      <c r="G681" s="818"/>
      <c r="H681" s="841"/>
      <c r="I681" s="1840"/>
      <c r="J681" s="841"/>
      <c r="K681" s="841"/>
    </row>
    <row r="682" spans="1:11">
      <c r="A682" s="794"/>
      <c r="B682" s="794"/>
      <c r="C682" s="794"/>
      <c r="D682" s="793"/>
      <c r="G682" s="818"/>
      <c r="H682" s="841"/>
      <c r="I682" s="1840"/>
      <c r="J682" s="841"/>
      <c r="K682" s="841"/>
    </row>
    <row r="683" spans="1:11" ht="14.25">
      <c r="A683" s="796"/>
      <c r="B683" s="797" t="s">
        <v>2589</v>
      </c>
      <c r="C683" s="794"/>
      <c r="D683" s="1968" t="s">
        <v>1224</v>
      </c>
      <c r="E683" s="1968"/>
      <c r="F683" s="1968"/>
      <c r="G683" s="818"/>
      <c r="H683" s="841"/>
      <c r="I683" s="1840" t="s">
        <v>2450</v>
      </c>
      <c r="J683" s="841"/>
      <c r="K683" s="841"/>
    </row>
    <row r="684" spans="1:11">
      <c r="A684" s="794"/>
      <c r="B684" s="794"/>
      <c r="C684" s="794"/>
      <c r="D684" s="1968"/>
      <c r="E684" s="1968"/>
      <c r="F684" s="1968"/>
      <c r="G684" s="818"/>
      <c r="H684" s="841"/>
      <c r="I684" s="1840"/>
      <c r="J684" s="841"/>
      <c r="K684" s="841"/>
    </row>
    <row r="685" spans="1:11">
      <c r="A685" s="794"/>
      <c r="B685" s="794"/>
      <c r="C685" s="794"/>
      <c r="D685" s="1968"/>
      <c r="E685" s="1968"/>
      <c r="F685" s="1968"/>
      <c r="G685" s="818"/>
      <c r="H685" s="841"/>
      <c r="I685" s="1840"/>
      <c r="J685" s="841"/>
      <c r="K685" s="841"/>
    </row>
    <row r="686" spans="1:11">
      <c r="A686" s="794"/>
      <c r="B686" s="794"/>
      <c r="C686" s="794"/>
      <c r="D686" s="1968"/>
      <c r="E686" s="1968"/>
      <c r="F686" s="1968"/>
      <c r="G686" s="818"/>
      <c r="H686" s="841"/>
      <c r="I686" s="1840"/>
      <c r="J686" s="841"/>
      <c r="K686" s="841"/>
    </row>
    <row r="687" spans="1:11">
      <c r="A687" s="794"/>
      <c r="B687" s="794"/>
      <c r="C687" s="794"/>
      <c r="D687" s="1968"/>
      <c r="E687" s="1968"/>
      <c r="F687" s="1968"/>
      <c r="G687" s="818"/>
      <c r="H687" s="841"/>
      <c r="I687" s="1840"/>
      <c r="J687" s="841"/>
      <c r="K687" s="841"/>
    </row>
    <row r="688" spans="1:11" s="790" customFormat="1">
      <c r="A688" s="833"/>
      <c r="B688" s="833"/>
      <c r="C688" s="833"/>
      <c r="D688" s="1968"/>
      <c r="E688" s="1968"/>
      <c r="F688" s="1968"/>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2589</v>
      </c>
      <c r="C690" s="833"/>
      <c r="D690" s="1968" t="s">
        <v>1406</v>
      </c>
      <c r="E690" s="1968"/>
      <c r="F690" s="1968"/>
      <c r="G690" s="843"/>
      <c r="H690" s="844"/>
      <c r="I690" s="1841" t="s">
        <v>2450</v>
      </c>
      <c r="J690" s="844"/>
      <c r="K690" s="844"/>
    </row>
    <row r="691" spans="1:11" s="790" customFormat="1">
      <c r="A691" s="833"/>
      <c r="B691" s="833"/>
      <c r="C691" s="833"/>
      <c r="D691" s="1968"/>
      <c r="E691" s="1968"/>
      <c r="F691" s="1968"/>
      <c r="G691" s="843"/>
      <c r="H691" s="844"/>
      <c r="I691" s="1841"/>
      <c r="J691" s="844"/>
      <c r="K691" s="844"/>
    </row>
    <row r="692" spans="1:11" s="790" customFormat="1">
      <c r="A692" s="833"/>
      <c r="B692" s="833"/>
      <c r="C692" s="833"/>
      <c r="D692" s="845"/>
      <c r="E692" s="845"/>
      <c r="F692" s="845"/>
      <c r="G692" s="843"/>
      <c r="H692" s="844"/>
      <c r="I692" s="1841"/>
      <c r="J692" s="844"/>
      <c r="K692" s="844"/>
    </row>
    <row r="693" spans="1:11" ht="14.25">
      <c r="A693" s="796"/>
      <c r="B693" s="797" t="s">
        <v>2590</v>
      </c>
      <c r="C693" s="794"/>
      <c r="D693" s="1968" t="s">
        <v>1215</v>
      </c>
      <c r="E693" s="1968"/>
      <c r="F693" s="1968"/>
      <c r="G693" s="818"/>
      <c r="H693" s="841"/>
      <c r="I693" s="1840" t="s">
        <v>2450</v>
      </c>
      <c r="J693" s="841"/>
      <c r="K693" s="841"/>
    </row>
    <row r="694" spans="1:11">
      <c r="A694" s="794"/>
      <c r="B694" s="794"/>
      <c r="C694" s="794"/>
      <c r="D694" s="1968"/>
      <c r="E694" s="1968"/>
      <c r="F694" s="1968"/>
      <c r="G694" s="818"/>
      <c r="H694" s="841"/>
      <c r="I694" s="1840"/>
      <c r="J694" s="841"/>
      <c r="K694" s="841"/>
    </row>
    <row r="695" spans="1:11">
      <c r="A695" s="794"/>
      <c r="B695" s="794"/>
      <c r="C695" s="794"/>
      <c r="D695" s="1968"/>
      <c r="E695" s="1968"/>
      <c r="F695" s="1968"/>
      <c r="G695" s="818"/>
      <c r="H695" s="841"/>
      <c r="I695" s="1840"/>
      <c r="J695" s="841"/>
      <c r="K695" s="841"/>
    </row>
    <row r="696" spans="1:11" ht="15" customHeight="1">
      <c r="A696" s="794"/>
      <c r="B696" s="794"/>
      <c r="C696" s="794"/>
      <c r="D696" s="1968"/>
      <c r="E696" s="1968"/>
      <c r="F696" s="1968"/>
      <c r="G696" s="818"/>
      <c r="H696" s="841"/>
      <c r="I696" s="1840"/>
      <c r="J696" s="841"/>
      <c r="K696" s="841"/>
    </row>
    <row r="697" spans="1:11" ht="15" customHeight="1">
      <c r="A697" s="794"/>
      <c r="B697" s="794"/>
      <c r="C697" s="794"/>
      <c r="D697" s="1968"/>
      <c r="E697" s="1968"/>
      <c r="F697" s="1968"/>
      <c r="G697" s="818"/>
      <c r="H697" s="841"/>
      <c r="I697" s="1840"/>
      <c r="J697" s="841"/>
      <c r="K697" s="841"/>
    </row>
    <row r="698" spans="1:11">
      <c r="A698" s="794"/>
      <c r="B698" s="794"/>
      <c r="C698" s="794"/>
      <c r="D698" s="1968"/>
      <c r="E698" s="1968"/>
      <c r="F698" s="1968"/>
      <c r="G698" s="818"/>
      <c r="H698" s="841"/>
      <c r="I698" s="1840"/>
      <c r="J698" s="841"/>
      <c r="K698" s="841"/>
    </row>
    <row r="699" spans="1:11">
      <c r="A699" s="794"/>
      <c r="B699" s="794"/>
      <c r="C699" s="794"/>
      <c r="D699" s="1968"/>
      <c r="E699" s="1968"/>
      <c r="F699" s="1968"/>
      <c r="G699" s="818"/>
      <c r="H699" s="841"/>
      <c r="I699" s="1840"/>
      <c r="J699" s="841"/>
      <c r="K699" s="841"/>
    </row>
    <row r="700" spans="1:11">
      <c r="A700" s="794"/>
      <c r="B700" s="794"/>
      <c r="C700" s="794"/>
      <c r="D700" s="1968"/>
      <c r="E700" s="1968"/>
      <c r="F700" s="1968"/>
      <c r="G700" s="818"/>
      <c r="H700" s="841"/>
      <c r="I700" s="1840"/>
      <c r="J700" s="841"/>
      <c r="K700" s="841"/>
    </row>
    <row r="701" spans="1:11" ht="15" customHeight="1">
      <c r="A701" s="794"/>
      <c r="B701" s="794"/>
      <c r="C701" s="794"/>
      <c r="D701" s="1968"/>
      <c r="E701" s="1968"/>
      <c r="F701" s="1968"/>
      <c r="G701" s="818"/>
      <c r="H701" s="841"/>
      <c r="I701" s="1840"/>
      <c r="J701" s="841"/>
      <c r="K701" s="841"/>
    </row>
    <row r="702" spans="1:11">
      <c r="A702" s="794"/>
      <c r="B702" s="794"/>
      <c r="C702" s="794"/>
      <c r="D702" s="1968"/>
      <c r="E702" s="1968"/>
      <c r="F702" s="1968"/>
      <c r="G702" s="818"/>
      <c r="H702" s="841"/>
      <c r="I702" s="1840"/>
      <c r="J702" s="841"/>
      <c r="K702" s="841"/>
    </row>
    <row r="703" spans="1:11">
      <c r="A703" s="794"/>
      <c r="B703" s="794"/>
      <c r="C703" s="794"/>
      <c r="D703" s="1968"/>
      <c r="E703" s="1968"/>
      <c r="F703" s="1968"/>
      <c r="G703" s="818"/>
      <c r="H703" s="841"/>
      <c r="I703" s="1840"/>
      <c r="J703" s="841"/>
      <c r="K703" s="841"/>
    </row>
    <row r="704" spans="1:11">
      <c r="A704" s="794"/>
      <c r="B704" s="794"/>
      <c r="C704" s="794"/>
      <c r="D704" s="1968"/>
      <c r="E704" s="1968"/>
      <c r="F704" s="1968"/>
      <c r="G704" s="818"/>
      <c r="H704" s="841"/>
      <c r="I704" s="1840"/>
      <c r="J704" s="841"/>
      <c r="K704" s="841"/>
    </row>
    <row r="705" spans="1:11">
      <c r="A705" s="794"/>
      <c r="B705" s="794"/>
      <c r="C705" s="794"/>
      <c r="D705" s="1968"/>
      <c r="E705" s="1968"/>
      <c r="F705" s="1968"/>
      <c r="G705" s="818"/>
      <c r="H705" s="841"/>
      <c r="I705" s="1840"/>
      <c r="J705" s="841"/>
      <c r="K705" s="841"/>
    </row>
    <row r="706" spans="1:11">
      <c r="A706" s="794"/>
      <c r="B706" s="797" t="s">
        <v>2590</v>
      </c>
      <c r="C706" s="794"/>
      <c r="D706" s="1968" t="s">
        <v>1222</v>
      </c>
      <c r="E706" s="1968"/>
      <c r="F706" s="1968"/>
      <c r="G706" s="818"/>
      <c r="H706" s="841"/>
      <c r="I706" s="1840" t="s">
        <v>2502</v>
      </c>
      <c r="J706" s="841"/>
      <c r="K706" s="841"/>
    </row>
    <row r="707" spans="1:11">
      <c r="A707" s="794"/>
      <c r="B707" s="794"/>
      <c r="C707" s="794"/>
      <c r="D707" s="1968"/>
      <c r="E707" s="1968"/>
      <c r="F707" s="1968"/>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2590</v>
      </c>
      <c r="C709" s="794"/>
      <c r="D709" s="1968" t="s">
        <v>1216</v>
      </c>
      <c r="E709" s="1968"/>
      <c r="F709" s="1968"/>
      <c r="G709" s="818"/>
      <c r="H709" s="841"/>
      <c r="I709" s="1840" t="s">
        <v>2502</v>
      </c>
      <c r="J709" s="841"/>
      <c r="K709" s="841"/>
    </row>
    <row r="710" spans="1:11">
      <c r="A710" s="794"/>
      <c r="B710" s="794"/>
      <c r="C710" s="794"/>
      <c r="D710" s="1968"/>
      <c r="E710" s="1968"/>
      <c r="F710" s="1968"/>
      <c r="G710" s="818"/>
      <c r="H710" s="841"/>
      <c r="I710" s="1840"/>
      <c r="J710" s="841"/>
      <c r="K710" s="841"/>
    </row>
    <row r="711" spans="1:11">
      <c r="A711" s="794"/>
      <c r="B711" s="794"/>
      <c r="C711" s="794"/>
      <c r="D711" s="1968"/>
      <c r="E711" s="1968"/>
      <c r="F711" s="1968"/>
      <c r="G711" s="818"/>
      <c r="H711" s="841"/>
      <c r="I711" s="1840"/>
      <c r="J711" s="841"/>
      <c r="K711" s="841"/>
    </row>
    <row r="712" spans="1:11">
      <c r="A712" s="794"/>
      <c r="B712" s="794"/>
      <c r="C712" s="794"/>
      <c r="D712" s="801"/>
      <c r="G712" s="818"/>
      <c r="H712" s="841"/>
      <c r="I712" s="1840"/>
      <c r="J712" s="841"/>
      <c r="K712" s="841"/>
    </row>
    <row r="713" spans="1:11">
      <c r="A713" s="794"/>
      <c r="B713" s="797" t="s">
        <v>2590</v>
      </c>
      <c r="C713" s="794"/>
      <c r="D713" s="1968" t="s">
        <v>1217</v>
      </c>
      <c r="E713" s="1968"/>
      <c r="F713" s="1968"/>
      <c r="G713" s="818"/>
      <c r="H713" s="841"/>
      <c r="I713" s="1840" t="s">
        <v>2502</v>
      </c>
      <c r="J713" s="841"/>
      <c r="K713" s="841"/>
    </row>
    <row r="714" spans="1:11">
      <c r="A714" s="794"/>
      <c r="B714" s="794"/>
      <c r="C714" s="794"/>
      <c r="D714" s="1968"/>
      <c r="E714" s="1968"/>
      <c r="F714" s="1968"/>
      <c r="G714" s="818"/>
      <c r="H714" s="841"/>
      <c r="I714" s="1840"/>
      <c r="J714" s="841"/>
      <c r="K714" s="841"/>
    </row>
    <row r="715" spans="1:11">
      <c r="A715" s="794"/>
      <c r="B715" s="794"/>
      <c r="C715" s="794"/>
      <c r="D715" s="1968"/>
      <c r="E715" s="1968"/>
      <c r="F715" s="1968"/>
      <c r="G715" s="818"/>
      <c r="H715" s="841"/>
      <c r="I715" s="1840"/>
      <c r="J715" s="841"/>
      <c r="K715" s="841"/>
    </row>
    <row r="716" spans="1:11">
      <c r="A716" s="794"/>
      <c r="B716" s="794"/>
      <c r="C716" s="794"/>
      <c r="D716" s="789"/>
      <c r="G716" s="818"/>
      <c r="H716" s="841"/>
      <c r="I716" s="1840"/>
      <c r="J716" s="841"/>
      <c r="K716" s="841"/>
    </row>
    <row r="717" spans="1:11" ht="14.25">
      <c r="A717" s="796"/>
      <c r="B717" s="797" t="s">
        <v>2590</v>
      </c>
      <c r="C717" s="794"/>
      <c r="D717" s="1923" t="s">
        <v>1218</v>
      </c>
      <c r="E717" s="1923"/>
      <c r="F717" s="1923"/>
      <c r="G717" s="818"/>
      <c r="H717" s="841"/>
      <c r="I717" s="1840" t="s">
        <v>2451</v>
      </c>
      <c r="J717" s="841"/>
      <c r="K717" s="841"/>
    </row>
    <row r="718" spans="1:11">
      <c r="A718" s="794"/>
      <c r="B718" s="794"/>
      <c r="C718" s="794"/>
      <c r="D718" s="1923"/>
      <c r="E718" s="1923"/>
      <c r="F718" s="1923"/>
      <c r="G718" s="818"/>
      <c r="H718" s="841"/>
      <c r="I718" s="1840"/>
      <c r="J718" s="841"/>
      <c r="K718" s="841"/>
    </row>
    <row r="719" spans="1:11">
      <c r="A719" s="794"/>
      <c r="B719" s="794"/>
      <c r="C719" s="794"/>
      <c r="D719" s="1923"/>
      <c r="E719" s="1923"/>
      <c r="F719" s="1923"/>
      <c r="G719" s="818"/>
      <c r="H719" s="841"/>
      <c r="I719" s="1840"/>
      <c r="J719" s="841"/>
      <c r="K719" s="841"/>
    </row>
    <row r="720" spans="1:11">
      <c r="A720" s="794"/>
      <c r="B720" s="794"/>
      <c r="C720" s="794"/>
      <c r="D720" s="1923"/>
      <c r="E720" s="1923"/>
      <c r="F720" s="1923"/>
      <c r="G720" s="818"/>
      <c r="H720" s="841"/>
      <c r="I720" s="1840"/>
      <c r="J720" s="841"/>
      <c r="K720" s="841"/>
    </row>
    <row r="721" spans="1:11">
      <c r="A721" s="794"/>
      <c r="B721" s="794"/>
      <c r="C721" s="794"/>
      <c r="D721" s="821"/>
      <c r="G721" s="818"/>
      <c r="H721" s="841"/>
      <c r="I721" s="1840"/>
      <c r="J721" s="841"/>
      <c r="K721" s="841"/>
    </row>
    <row r="722" spans="1:11" ht="14.25">
      <c r="A722" s="796"/>
      <c r="B722" s="797" t="s">
        <v>2590</v>
      </c>
      <c r="C722" s="794"/>
      <c r="D722" s="1968" t="s">
        <v>1351</v>
      </c>
      <c r="E722" s="1968"/>
      <c r="F722" s="1968"/>
      <c r="G722" s="818"/>
      <c r="H722" s="841"/>
      <c r="I722" s="1840" t="s">
        <v>2467</v>
      </c>
      <c r="J722" s="841"/>
      <c r="K722" s="841"/>
    </row>
    <row r="723" spans="1:11">
      <c r="A723" s="794"/>
      <c r="B723" s="794"/>
      <c r="C723" s="794"/>
      <c r="D723" s="1968"/>
      <c r="E723" s="1968"/>
      <c r="F723" s="1968"/>
      <c r="G723" s="818"/>
      <c r="H723" s="841"/>
      <c r="I723" s="1840"/>
      <c r="J723" s="841"/>
      <c r="K723" s="841"/>
    </row>
    <row r="724" spans="1:11">
      <c r="A724" s="794"/>
      <c r="B724" s="794"/>
      <c r="C724" s="794"/>
      <c r="D724" s="1968"/>
      <c r="E724" s="1968"/>
      <c r="F724" s="1968"/>
      <c r="G724" s="818"/>
      <c r="H724" s="841"/>
      <c r="I724" s="1840"/>
      <c r="J724" s="841"/>
      <c r="K724" s="841"/>
    </row>
    <row r="725" spans="1:11">
      <c r="A725" s="794"/>
      <c r="B725" s="794"/>
      <c r="C725" s="794"/>
      <c r="D725" s="1968"/>
      <c r="E725" s="1968"/>
      <c r="F725" s="1968"/>
      <c r="G725" s="818"/>
      <c r="H725" s="841"/>
      <c r="I725" s="1840"/>
      <c r="J725" s="841"/>
      <c r="K725" s="841"/>
    </row>
    <row r="726" spans="1:11">
      <c r="A726" s="794"/>
      <c r="B726" s="794"/>
      <c r="C726" s="794"/>
      <c r="D726" s="1968"/>
      <c r="E726" s="1968"/>
      <c r="F726" s="1968"/>
      <c r="G726" s="818"/>
      <c r="H726" s="841"/>
      <c r="I726" s="1840"/>
      <c r="J726" s="841"/>
      <c r="K726" s="841"/>
    </row>
    <row r="727" spans="1:11">
      <c r="A727" s="794"/>
      <c r="B727" s="794"/>
      <c r="C727" s="794"/>
      <c r="D727" s="1968"/>
      <c r="E727" s="1968"/>
      <c r="F727" s="1968"/>
      <c r="G727" s="818"/>
      <c r="H727" s="841"/>
      <c r="I727" s="1840"/>
      <c r="J727" s="841"/>
      <c r="K727" s="841"/>
    </row>
    <row r="728" spans="1:11">
      <c r="A728" s="794"/>
      <c r="B728" s="794"/>
      <c r="C728" s="794"/>
      <c r="D728" s="1968"/>
      <c r="E728" s="1968"/>
      <c r="F728" s="1968"/>
      <c r="G728" s="818"/>
      <c r="H728" s="841"/>
      <c r="I728" s="1840"/>
      <c r="J728" s="841"/>
      <c r="K728" s="841"/>
    </row>
    <row r="729" spans="1:11">
      <c r="A729" s="794"/>
      <c r="B729" s="794"/>
      <c r="C729" s="794"/>
      <c r="D729" s="1896" t="s">
        <v>1219</v>
      </c>
      <c r="E729" s="1896"/>
      <c r="F729" s="1896"/>
      <c r="G729" s="818"/>
      <c r="H729" s="841"/>
      <c r="I729" s="1840"/>
      <c r="J729" s="841"/>
      <c r="K729" s="841"/>
    </row>
    <row r="730" spans="1:11">
      <c r="A730" s="794"/>
      <c r="B730" s="794"/>
      <c r="C730" s="794"/>
      <c r="D730" s="781"/>
      <c r="G730" s="818"/>
      <c r="H730" s="841"/>
      <c r="I730" s="1840"/>
      <c r="J730" s="841"/>
      <c r="K730" s="841"/>
    </row>
    <row r="731" spans="1:11">
      <c r="A731" s="1889" t="s">
        <v>1176</v>
      </c>
      <c r="B731" s="1889"/>
      <c r="C731" s="1889"/>
      <c r="D731" s="1889"/>
      <c r="E731" s="1889"/>
      <c r="F731" s="1889"/>
      <c r="G731" s="1889"/>
      <c r="H731" s="1854"/>
      <c r="I731" s="1855"/>
      <c r="J731" s="841"/>
      <c r="K731" s="841"/>
    </row>
    <row r="732" spans="1:11">
      <c r="A732" s="794"/>
      <c r="B732" s="794"/>
      <c r="C732" s="794"/>
      <c r="D732" s="821"/>
      <c r="G732" s="846"/>
      <c r="H732" s="841"/>
      <c r="I732" s="1840"/>
      <c r="J732" s="841"/>
      <c r="K732" s="841"/>
    </row>
    <row r="733" spans="1:11" ht="13.9" customHeight="1">
      <c r="C733" s="794"/>
      <c r="D733" s="1961" t="s">
        <v>1192</v>
      </c>
      <c r="E733" s="1961"/>
      <c r="F733" s="1961"/>
      <c r="G733" s="846"/>
      <c r="H733" s="841"/>
      <c r="I733" s="1840"/>
      <c r="J733" s="841"/>
      <c r="K733" s="841"/>
    </row>
    <row r="734" spans="1:11">
      <c r="A734" s="794"/>
      <c r="B734" s="794"/>
      <c r="C734" s="794"/>
      <c r="D734" s="1902" t="s">
        <v>1193</v>
      </c>
      <c r="E734" s="1902"/>
      <c r="F734" s="1902"/>
      <c r="G734" s="846"/>
      <c r="H734" s="841"/>
      <c r="I734" s="1840"/>
      <c r="J734" s="841"/>
      <c r="K734" s="841"/>
    </row>
    <row r="735" spans="1:11">
      <c r="A735" s="794"/>
      <c r="B735" s="794"/>
      <c r="C735" s="794"/>
      <c r="G735" s="846"/>
      <c r="H735" s="841"/>
      <c r="I735" s="1840"/>
      <c r="J735" s="841"/>
      <c r="K735" s="841"/>
    </row>
    <row r="736" spans="1:11" s="790" customFormat="1" ht="14.25">
      <c r="A736" s="796"/>
      <c r="B736" s="797" t="s">
        <v>2589</v>
      </c>
      <c r="C736" s="787"/>
      <c r="D736" s="1923" t="s">
        <v>1194</v>
      </c>
      <c r="E736" s="1923"/>
      <c r="F736" s="1923"/>
      <c r="G736" s="846"/>
      <c r="H736" s="844"/>
      <c r="I736" s="1841" t="s">
        <v>2452</v>
      </c>
      <c r="J736" s="844"/>
      <c r="K736" s="844"/>
    </row>
    <row r="737" spans="1:11" s="790" customFormat="1" ht="10.5" customHeight="1">
      <c r="A737" s="787"/>
      <c r="B737" s="787"/>
      <c r="C737" s="787"/>
      <c r="D737" s="1923"/>
      <c r="E737" s="1923"/>
      <c r="F737" s="1923"/>
      <c r="G737" s="846"/>
      <c r="H737" s="844"/>
      <c r="I737" s="1841"/>
      <c r="J737" s="844"/>
      <c r="K737" s="844"/>
    </row>
    <row r="738" spans="1:11" s="790" customFormat="1">
      <c r="A738" s="787"/>
      <c r="B738" s="787"/>
      <c r="C738" s="787"/>
      <c r="D738" s="1923"/>
      <c r="E738" s="1923"/>
      <c r="F738" s="1923"/>
      <c r="G738" s="846"/>
      <c r="H738" s="844"/>
      <c r="I738" s="1841"/>
      <c r="J738" s="844"/>
      <c r="K738" s="844"/>
    </row>
    <row r="739" spans="1:11">
      <c r="D739" s="1923"/>
      <c r="E739" s="1923"/>
      <c r="F739" s="1923"/>
      <c r="G739" s="846"/>
      <c r="H739" s="841"/>
      <c r="I739" s="1840"/>
      <c r="J739" s="841"/>
      <c r="K739" s="841"/>
    </row>
    <row r="740" spans="1:11">
      <c r="A740" s="800"/>
      <c r="B740" s="800"/>
      <c r="C740" s="800"/>
      <c r="D740" s="1923"/>
      <c r="E740" s="1923"/>
      <c r="F740" s="1923"/>
      <c r="G740" s="847"/>
      <c r="H740" s="841"/>
      <c r="I740" s="1840"/>
      <c r="J740" s="841"/>
      <c r="K740" s="841"/>
    </row>
    <row r="741" spans="1:11" ht="15.6" customHeight="1">
      <c r="A741" s="800"/>
      <c r="B741" s="800"/>
      <c r="C741" s="800"/>
      <c r="D741" s="1923"/>
      <c r="E741" s="1923"/>
      <c r="F741" s="1923"/>
      <c r="G741" s="847"/>
      <c r="H741" s="841"/>
      <c r="I741" s="1840"/>
      <c r="J741" s="841"/>
      <c r="K741" s="841"/>
    </row>
    <row r="742" spans="1:11">
      <c r="A742" s="800"/>
      <c r="B742" s="800"/>
      <c r="C742" s="800"/>
      <c r="D742" s="836"/>
      <c r="E742" s="848"/>
      <c r="F742" s="848"/>
      <c r="G742" s="847"/>
      <c r="H742" s="841"/>
      <c r="I742" s="1840"/>
      <c r="J742" s="841"/>
      <c r="K742" s="841"/>
    </row>
    <row r="743" spans="1:11" s="852" customFormat="1" ht="14.25">
      <c r="A743" s="849"/>
      <c r="B743" s="797" t="s">
        <v>2589</v>
      </c>
      <c r="C743" s="850"/>
      <c r="D743" s="1880" t="s">
        <v>1457</v>
      </c>
      <c r="E743" s="1880"/>
      <c r="F743" s="1880"/>
      <c r="G743" s="851"/>
      <c r="I743" s="1842" t="s">
        <v>2452</v>
      </c>
    </row>
    <row r="744" spans="1:11" s="852" customFormat="1">
      <c r="A744" s="850"/>
      <c r="B744" s="850"/>
      <c r="C744" s="850"/>
      <c r="D744" s="1880"/>
      <c r="E744" s="1880"/>
      <c r="F744" s="1880"/>
      <c r="G744" s="851"/>
      <c r="I744" s="1842"/>
    </row>
    <row r="745" spans="1:11" s="852" customFormat="1">
      <c r="A745" s="850"/>
      <c r="B745" s="850"/>
      <c r="C745" s="850"/>
      <c r="D745" s="1880"/>
      <c r="E745" s="1880"/>
      <c r="F745" s="1880"/>
      <c r="G745" s="851"/>
      <c r="I745" s="1842"/>
    </row>
    <row r="746" spans="1:11" s="852" customFormat="1">
      <c r="A746" s="850"/>
      <c r="B746" s="850"/>
      <c r="C746" s="850"/>
      <c r="D746" s="1880"/>
      <c r="E746" s="1880"/>
      <c r="F746" s="1880"/>
      <c r="G746" s="851"/>
      <c r="I746" s="1842"/>
    </row>
    <row r="747" spans="1:11" s="852" customFormat="1">
      <c r="A747" s="850"/>
      <c r="B747" s="850"/>
      <c r="C747" s="850"/>
      <c r="D747" s="836"/>
      <c r="E747" s="851"/>
      <c r="F747" s="851"/>
      <c r="G747" s="851"/>
      <c r="I747" s="1842"/>
    </row>
    <row r="748" spans="1:11" s="852" customFormat="1" ht="14.25">
      <c r="A748" s="796"/>
      <c r="B748" s="797" t="s">
        <v>2590</v>
      </c>
      <c r="C748" s="850"/>
      <c r="D748" s="1975" t="s">
        <v>1458</v>
      </c>
      <c r="E748" s="1975"/>
      <c r="F748" s="1975"/>
      <c r="G748" s="851"/>
      <c r="I748" s="1842" t="s">
        <v>2453</v>
      </c>
    </row>
    <row r="749" spans="1:11" s="852" customFormat="1">
      <c r="A749" s="850"/>
      <c r="B749" s="850"/>
      <c r="C749" s="850"/>
      <c r="D749" s="1975"/>
      <c r="E749" s="1975"/>
      <c r="F749" s="1975"/>
      <c r="G749" s="851"/>
      <c r="I749" s="1842"/>
    </row>
    <row r="750" spans="1:11" s="852" customFormat="1">
      <c r="A750" s="850"/>
      <c r="B750" s="850"/>
      <c r="C750" s="850"/>
      <c r="D750" s="1975"/>
      <c r="E750" s="1975"/>
      <c r="F750" s="1975"/>
      <c r="G750" s="851"/>
      <c r="I750" s="1842"/>
    </row>
    <row r="751" spans="1:11">
      <c r="A751" s="800"/>
      <c r="B751" s="800"/>
      <c r="C751" s="800"/>
      <c r="D751" s="836"/>
      <c r="E751" s="848"/>
      <c r="F751" s="848"/>
      <c r="G751" s="847"/>
      <c r="H751" s="841"/>
      <c r="I751" s="1840"/>
      <c r="J751" s="841"/>
      <c r="K751" s="841"/>
    </row>
    <row r="752" spans="1:11" ht="14.25">
      <c r="A752" s="796"/>
      <c r="B752" s="797" t="s">
        <v>2590</v>
      </c>
      <c r="C752" s="800"/>
      <c r="D752" s="1880" t="s">
        <v>1401</v>
      </c>
      <c r="E752" s="1880"/>
      <c r="F752" s="1880"/>
      <c r="G752" s="847"/>
      <c r="H752" s="841"/>
      <c r="I752" s="1840" t="s">
        <v>2452</v>
      </c>
      <c r="J752" s="841"/>
      <c r="K752" s="841"/>
    </row>
    <row r="753" spans="1:11">
      <c r="A753" s="800"/>
      <c r="B753" s="800"/>
      <c r="C753" s="800"/>
      <c r="D753" s="1880"/>
      <c r="E753" s="1880"/>
      <c r="F753" s="1880"/>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2590</v>
      </c>
      <c r="C755" s="800"/>
      <c r="D755" s="1880" t="s">
        <v>1423</v>
      </c>
      <c r="E755" s="1880"/>
      <c r="F755" s="1880"/>
      <c r="G755" s="847"/>
      <c r="H755" s="841"/>
      <c r="I755" s="1840" t="s">
        <v>2452</v>
      </c>
      <c r="J755" s="841"/>
      <c r="K755" s="841"/>
    </row>
    <row r="756" spans="1:11">
      <c r="A756" s="800"/>
      <c r="B756" s="800"/>
      <c r="C756" s="800"/>
      <c r="D756" s="1880"/>
      <c r="E756" s="1880"/>
      <c r="F756" s="1880"/>
      <c r="G756" s="847"/>
      <c r="H756" s="841"/>
      <c r="I756" s="1840"/>
      <c r="J756" s="841"/>
      <c r="K756" s="841"/>
    </row>
    <row r="757" spans="1:11">
      <c r="A757" s="800"/>
      <c r="B757" s="800"/>
      <c r="C757" s="800"/>
      <c r="D757" s="1880"/>
      <c r="E757" s="1880"/>
      <c r="F757" s="1880"/>
      <c r="G757" s="847"/>
      <c r="H757" s="841"/>
      <c r="I757" s="1840"/>
      <c r="J757" s="841"/>
      <c r="K757" s="841"/>
    </row>
    <row r="758" spans="1:11">
      <c r="A758" s="800"/>
      <c r="B758" s="800"/>
      <c r="C758" s="800"/>
      <c r="D758" s="780"/>
      <c r="E758" s="780"/>
      <c r="F758" s="780"/>
      <c r="G758" s="847"/>
      <c r="H758" s="841"/>
      <c r="I758" s="1840"/>
      <c r="J758" s="841"/>
      <c r="K758" s="841"/>
    </row>
    <row r="759" spans="1:11">
      <c r="A759" s="1972" t="s">
        <v>2321</v>
      </c>
      <c r="B759" s="1972"/>
      <c r="C759" s="1972"/>
      <c r="D759" s="1972"/>
      <c r="E759" s="1972"/>
      <c r="F759" s="1972"/>
      <c r="G759" s="1972"/>
      <c r="H759" s="1852"/>
      <c r="I759" s="1853"/>
    </row>
    <row r="760" spans="1:11">
      <c r="A760" s="93"/>
      <c r="B760" s="93"/>
      <c r="C760" s="1731"/>
      <c r="D760" s="155"/>
      <c r="E760" s="155"/>
      <c r="F760" s="155"/>
      <c r="G760" s="685"/>
    </row>
    <row r="761" spans="1:11">
      <c r="A761" s="93"/>
      <c r="B761" s="93"/>
      <c r="C761" s="1731"/>
      <c r="D761" s="1973" t="s">
        <v>2380</v>
      </c>
      <c r="E761" s="1973"/>
      <c r="F761" s="1973"/>
      <c r="G761" s="685"/>
    </row>
    <row r="762" spans="1:11">
      <c r="A762" s="93"/>
      <c r="B762" s="93"/>
      <c r="C762" s="1731"/>
      <c r="D762" s="1987" t="s">
        <v>2266</v>
      </c>
      <c r="E762" s="1987"/>
      <c r="F762" s="1987"/>
      <c r="G762" s="685"/>
    </row>
    <row r="763" spans="1:11">
      <c r="A763" s="93"/>
      <c r="B763" s="93"/>
      <c r="C763" s="1731"/>
      <c r="D763" s="732"/>
      <c r="E763" s="732"/>
      <c r="F763" s="732"/>
      <c r="G763" s="685"/>
    </row>
    <row r="764" spans="1:11">
      <c r="A764" s="93"/>
      <c r="B764" s="797" t="s">
        <v>2589</v>
      </c>
      <c r="C764" s="1731"/>
      <c r="D764" s="1907" t="s">
        <v>2267</v>
      </c>
      <c r="E764" s="1907"/>
      <c r="F764" s="1907"/>
      <c r="G764" s="685"/>
      <c r="I764" s="1840" t="s">
        <v>2504</v>
      </c>
    </row>
    <row r="765" spans="1:11">
      <c r="A765" s="93"/>
      <c r="B765" s="93"/>
      <c r="C765" s="1731"/>
      <c r="D765" s="1907"/>
      <c r="E765" s="1907"/>
      <c r="F765" s="1907"/>
      <c r="G765" s="685"/>
    </row>
    <row r="766" spans="1:11">
      <c r="A766" s="719"/>
      <c r="B766" s="719"/>
      <c r="C766" s="312"/>
      <c r="D766" s="1907"/>
      <c r="E766" s="1907"/>
      <c r="F766" s="1907"/>
      <c r="G766" s="1732"/>
    </row>
    <row r="767" spans="1:11">
      <c r="A767" s="1725"/>
      <c r="B767" s="1725"/>
      <c r="C767" s="1733"/>
      <c r="D767" s="1709"/>
      <c r="E767" s="685"/>
      <c r="F767" s="685"/>
      <c r="G767" s="685"/>
    </row>
    <row r="768" spans="1:11">
      <c r="A768" s="266"/>
      <c r="B768" s="797" t="s">
        <v>2589</v>
      </c>
      <c r="C768" s="1734"/>
      <c r="D768" s="1907" t="s">
        <v>2268</v>
      </c>
      <c r="E768" s="1907"/>
      <c r="F768" s="1907"/>
      <c r="G768" s="685"/>
      <c r="I768" s="1840" t="s">
        <v>2504</v>
      </c>
    </row>
    <row r="769" spans="1:9">
      <c r="A769" s="1735"/>
      <c r="B769" s="1735"/>
      <c r="C769" s="1736"/>
      <c r="D769" s="1907"/>
      <c r="E769" s="1907"/>
      <c r="F769" s="1907"/>
      <c r="G769" s="685"/>
    </row>
    <row r="770" spans="1:9">
      <c r="A770" s="266"/>
      <c r="B770" s="266"/>
      <c r="C770" s="1734"/>
      <c r="D770" s="1907"/>
      <c r="E770" s="1907"/>
      <c r="F770" s="1907"/>
      <c r="G770" s="685"/>
    </row>
    <row r="771" spans="1:9">
      <c r="A771" s="719"/>
      <c r="B771" s="719"/>
      <c r="C771" s="312"/>
      <c r="D771" s="6"/>
      <c r="E771" s="1737"/>
      <c r="F771" s="1737"/>
      <c r="G771" s="1738"/>
    </row>
    <row r="772" spans="1:9" ht="14.25">
      <c r="A772" s="713"/>
      <c r="B772" s="797" t="s">
        <v>315</v>
      </c>
      <c r="C772" s="1739"/>
      <c r="D772" s="1907" t="s">
        <v>2269</v>
      </c>
      <c r="E772" s="1907"/>
      <c r="F772" s="1907"/>
      <c r="G772" s="1738"/>
      <c r="I772" s="1840" t="s">
        <v>2504</v>
      </c>
    </row>
    <row r="773" spans="1:9" ht="14.25">
      <c r="A773" s="713"/>
      <c r="B773" s="713"/>
      <c r="C773" s="1739"/>
      <c r="D773" s="1907"/>
      <c r="E773" s="1907"/>
      <c r="F773" s="1907"/>
      <c r="G773" s="1738"/>
    </row>
    <row r="774" spans="1:9" ht="14.25">
      <c r="A774" s="713"/>
      <c r="B774" s="713"/>
      <c r="C774" s="1739"/>
      <c r="D774" s="1907"/>
      <c r="E774" s="1907"/>
      <c r="F774" s="1907"/>
      <c r="G774" s="1738"/>
    </row>
    <row r="775" spans="1:9" ht="14.25">
      <c r="A775" s="713"/>
      <c r="B775" s="713"/>
      <c r="C775" s="1739"/>
      <c r="D775" s="1707"/>
      <c r="E775" s="6"/>
      <c r="F775" s="6"/>
      <c r="G775" s="1738"/>
    </row>
    <row r="776" spans="1:9" ht="14.25">
      <c r="A776" s="713"/>
      <c r="B776" s="797" t="s">
        <v>2589</v>
      </c>
      <c r="C776" s="1739"/>
      <c r="D776" s="1907" t="s">
        <v>2270</v>
      </c>
      <c r="E776" s="1907"/>
      <c r="F776" s="1907"/>
      <c r="G776" s="1738"/>
      <c r="I776" s="1840" t="s">
        <v>2504</v>
      </c>
    </row>
    <row r="777" spans="1:9" ht="14.25">
      <c r="A777" s="713"/>
      <c r="B777" s="713"/>
      <c r="C777" s="1739"/>
      <c r="D777" s="1907"/>
      <c r="E777" s="1907"/>
      <c r="F777" s="1907"/>
      <c r="G777" s="1738"/>
    </row>
    <row r="778" spans="1:9" ht="14.25">
      <c r="A778" s="713"/>
      <c r="B778" s="713"/>
      <c r="C778" s="1739"/>
      <c r="D778" s="1907"/>
      <c r="E778" s="1907"/>
      <c r="F778" s="1907"/>
      <c r="G778" s="1738"/>
    </row>
    <row r="779" spans="1:9" ht="14.25">
      <c r="A779" s="713"/>
      <c r="B779" s="713"/>
      <c r="C779" s="1739"/>
      <c r="D779" s="1907"/>
      <c r="E779" s="1907"/>
      <c r="F779" s="1907"/>
      <c r="G779" s="1738"/>
    </row>
    <row r="780" spans="1:9" ht="14.25">
      <c r="A780" s="713"/>
      <c r="B780" s="713"/>
      <c r="C780" s="1739"/>
      <c r="D780" s="1907"/>
      <c r="E780" s="1907"/>
      <c r="F780" s="1907"/>
      <c r="G780" s="1738"/>
    </row>
    <row r="781" spans="1:9" ht="14.25">
      <c r="A781" s="713"/>
      <c r="B781" s="713"/>
      <c r="C781" s="1739"/>
      <c r="D781" s="1907"/>
      <c r="E781" s="1907"/>
      <c r="F781" s="1907"/>
      <c r="G781" s="1738"/>
    </row>
    <row r="782" spans="1:9" ht="14.25">
      <c r="A782" s="713"/>
      <c r="B782" s="713"/>
      <c r="C782" s="1739"/>
      <c r="D782" s="1907" t="s">
        <v>2322</v>
      </c>
      <c r="E782" s="1907"/>
      <c r="F782" s="1907"/>
      <c r="G782" s="1738"/>
    </row>
    <row r="783" spans="1:9" ht="14.25">
      <c r="A783" s="713"/>
      <c r="B783" s="713"/>
      <c r="C783" s="1739"/>
      <c r="D783" s="1907"/>
      <c r="E783" s="1907"/>
      <c r="F783" s="1907"/>
      <c r="G783" s="1738"/>
    </row>
    <row r="784" spans="1:9" ht="14.25">
      <c r="A784" s="713"/>
      <c r="B784" s="713"/>
      <c r="C784" s="1739"/>
      <c r="D784" s="1907"/>
      <c r="E784" s="1907"/>
      <c r="F784" s="1907"/>
      <c r="G784" s="1738"/>
    </row>
    <row r="785" spans="1:9" ht="14.25">
      <c r="A785" s="713"/>
      <c r="B785" s="555"/>
      <c r="C785" s="1739"/>
      <c r="D785" s="1740"/>
      <c r="E785" s="1740"/>
      <c r="F785" s="1740"/>
      <c r="G785" s="1738"/>
    </row>
    <row r="786" spans="1:9" ht="14.25">
      <c r="A786" s="713"/>
      <c r="B786" s="797" t="s">
        <v>2590</v>
      </c>
      <c r="C786" s="1739"/>
      <c r="D786" s="1907" t="s">
        <v>2271</v>
      </c>
      <c r="E786" s="1907"/>
      <c r="F786" s="1907"/>
      <c r="G786" s="1738"/>
      <c r="I786" s="1840" t="s">
        <v>2504</v>
      </c>
    </row>
    <row r="787" spans="1:9" ht="14.25">
      <c r="A787" s="713"/>
      <c r="B787" s="713"/>
      <c r="C787" s="1739"/>
      <c r="D787" s="1907"/>
      <c r="E787" s="1907"/>
      <c r="F787" s="1907"/>
      <c r="G787" s="1738"/>
    </row>
    <row r="788" spans="1:9" ht="14.25">
      <c r="A788" s="713"/>
      <c r="B788" s="713"/>
      <c r="C788" s="1739"/>
      <c r="D788" s="1907"/>
      <c r="E788" s="1907"/>
      <c r="F788" s="1907"/>
      <c r="G788" s="1738"/>
    </row>
    <row r="789" spans="1:9" ht="14.25">
      <c r="A789" s="713"/>
      <c r="B789" s="713"/>
      <c r="C789" s="1739"/>
      <c r="D789" s="1907"/>
      <c r="E789" s="1907"/>
      <c r="F789" s="1907"/>
      <c r="G789" s="1738"/>
    </row>
    <row r="790" spans="1:9" ht="14.25">
      <c r="A790" s="713"/>
      <c r="B790" s="713"/>
      <c r="C790" s="1739"/>
      <c r="D790" s="1907"/>
      <c r="E790" s="1907"/>
      <c r="F790" s="1907"/>
      <c r="G790" s="1738"/>
    </row>
    <row r="791" spans="1:9" ht="14.25">
      <c r="A791" s="713"/>
      <c r="B791" s="713"/>
      <c r="C791" s="1739"/>
      <c r="D791" s="1907"/>
      <c r="E791" s="1907"/>
      <c r="F791" s="1907"/>
      <c r="G791" s="1738"/>
    </row>
    <row r="792" spans="1:9" ht="14.25">
      <c r="A792" s="713"/>
      <c r="B792" s="713"/>
      <c r="C792" s="1739"/>
      <c r="D792" s="1716"/>
      <c r="E792" s="1716"/>
      <c r="F792" s="1716"/>
      <c r="G792" s="1738"/>
    </row>
    <row r="793" spans="1:9" ht="14.25">
      <c r="A793" s="713"/>
      <c r="B793" s="797" t="s">
        <v>2590</v>
      </c>
      <c r="C793" s="1739"/>
      <c r="D793" s="1907" t="s">
        <v>2272</v>
      </c>
      <c r="E793" s="1907"/>
      <c r="F793" s="1907"/>
      <c r="G793" s="1738"/>
      <c r="I793" s="1840" t="s">
        <v>2504</v>
      </c>
    </row>
    <row r="794" spans="1:9" ht="14.25">
      <c r="A794" s="713"/>
      <c r="B794" s="713"/>
      <c r="C794" s="1739"/>
      <c r="D794" s="1907"/>
      <c r="E794" s="1907"/>
      <c r="F794" s="1907"/>
      <c r="G794" s="1738"/>
    </row>
    <row r="795" spans="1:9" ht="14.25">
      <c r="A795" s="713"/>
      <c r="B795" s="713"/>
      <c r="C795" s="1739"/>
      <c r="D795" s="1907"/>
      <c r="E795" s="1907"/>
      <c r="F795" s="1907"/>
      <c r="G795" s="1738"/>
    </row>
    <row r="796" spans="1:9" ht="14.25">
      <c r="A796" s="713"/>
      <c r="B796" s="713"/>
      <c r="C796" s="1739"/>
      <c r="D796" s="1907"/>
      <c r="E796" s="1907"/>
      <c r="F796" s="1907"/>
      <c r="G796" s="1738"/>
    </row>
    <row r="797" spans="1:9" ht="14.25">
      <c r="A797" s="713"/>
      <c r="B797" s="713"/>
      <c r="C797" s="1739"/>
      <c r="D797" s="1907"/>
      <c r="E797" s="1907"/>
      <c r="F797" s="1907"/>
      <c r="G797" s="1738"/>
    </row>
    <row r="798" spans="1:9" ht="14.25">
      <c r="A798" s="713"/>
      <c r="B798" s="713"/>
      <c r="C798" s="1739"/>
      <c r="D798" s="1907"/>
      <c r="E798" s="1907"/>
      <c r="F798" s="1907"/>
      <c r="G798" s="1738"/>
    </row>
    <row r="799" spans="1:9" ht="14.25">
      <c r="A799" s="713"/>
      <c r="B799" s="713"/>
      <c r="C799" s="1739"/>
      <c r="D799" s="1716"/>
      <c r="E799" s="1716"/>
      <c r="F799" s="1716"/>
      <c r="G799" s="1738"/>
    </row>
    <row r="800" spans="1:9" ht="14.25">
      <c r="A800" s="713"/>
      <c r="B800" s="797" t="s">
        <v>2590</v>
      </c>
      <c r="C800" s="1739"/>
      <c r="D800" s="1920" t="s">
        <v>2273</v>
      </c>
      <c r="E800" s="1920"/>
      <c r="F800" s="1920"/>
      <c r="G800" s="1738"/>
      <c r="I800" s="1840" t="s">
        <v>2504</v>
      </c>
    </row>
    <row r="801" spans="1:9" ht="14.25">
      <c r="A801" s="713"/>
      <c r="B801" s="713"/>
      <c r="C801" s="1739"/>
      <c r="D801" s="1920"/>
      <c r="E801" s="1920"/>
      <c r="F801" s="1920"/>
      <c r="G801" s="1738"/>
    </row>
    <row r="802" spans="1:9">
      <c r="A802" s="1724"/>
      <c r="B802" s="1724"/>
      <c r="C802" s="1739"/>
      <c r="D802" s="1920"/>
      <c r="E802" s="1920"/>
      <c r="F802" s="1920"/>
      <c r="G802" s="1738"/>
    </row>
    <row r="803" spans="1:9" ht="14.25">
      <c r="A803" s="713"/>
      <c r="B803" s="1724"/>
      <c r="C803" s="1739"/>
      <c r="D803" s="1920"/>
      <c r="E803" s="1920"/>
      <c r="F803" s="1920"/>
      <c r="G803" s="1738"/>
    </row>
    <row r="804" spans="1:9" ht="12.75" customHeight="1">
      <c r="A804" s="713"/>
      <c r="B804" s="1724"/>
      <c r="C804" s="1739"/>
      <c r="D804" s="1920"/>
      <c r="E804" s="1920"/>
      <c r="F804" s="1920"/>
      <c r="G804" s="1738"/>
    </row>
    <row r="805" spans="1:9" ht="12.75" customHeight="1">
      <c r="A805" s="713"/>
      <c r="B805" s="1724"/>
      <c r="C805" s="1739"/>
      <c r="D805" s="1920"/>
      <c r="E805" s="1920"/>
      <c r="F805" s="1920"/>
      <c r="G805" s="1738"/>
    </row>
    <row r="806" spans="1:9" ht="12.75" customHeight="1">
      <c r="A806" s="1724"/>
      <c r="B806" s="1724"/>
      <c r="C806" s="1739"/>
      <c r="D806" s="1737"/>
      <c r="E806" s="6"/>
      <c r="F806" s="6"/>
      <c r="G806" s="1738"/>
    </row>
    <row r="807" spans="1:9" ht="12.75" customHeight="1">
      <c r="A807" s="1897" t="s">
        <v>2274</v>
      </c>
      <c r="B807" s="1897"/>
      <c r="C807" s="1897"/>
      <c r="D807" s="1897"/>
      <c r="E807" s="1897"/>
      <c r="F807" s="1897"/>
      <c r="G807" s="1897"/>
      <c r="H807" s="1852"/>
      <c r="I807" s="1853"/>
    </row>
    <row r="808" spans="1:9" ht="12.75" customHeight="1">
      <c r="A808" s="1713"/>
      <c r="B808" s="1713"/>
      <c r="C808" s="1739"/>
      <c r="D808" s="1737"/>
      <c r="E808" s="1737"/>
      <c r="F808" s="1737"/>
      <c r="G808" s="1738"/>
    </row>
    <row r="809" spans="1:9" ht="12.75" customHeight="1">
      <c r="A809" s="713"/>
      <c r="B809" s="713"/>
      <c r="C809" s="555"/>
      <c r="D809" s="1904" t="s">
        <v>2323</v>
      </c>
      <c r="E809" s="1904"/>
      <c r="F809" s="1904"/>
      <c r="G809" s="677"/>
    </row>
    <row r="810" spans="1:9" ht="14.25" customHeight="1">
      <c r="A810" s="713"/>
      <c r="B810" s="713"/>
      <c r="C810" s="555"/>
      <c r="D810" s="1862" t="s">
        <v>2275</v>
      </c>
      <c r="E810" s="1862"/>
      <c r="F810" s="1862"/>
      <c r="G810" s="677"/>
    </row>
    <row r="811" spans="1:9" ht="12.75" customHeight="1">
      <c r="A811" s="713"/>
      <c r="B811" s="713"/>
      <c r="C811" s="555"/>
      <c r="D811" s="1702"/>
      <c r="E811" s="1702"/>
      <c r="F811" s="1702"/>
      <c r="G811" s="677"/>
    </row>
    <row r="812" spans="1:9" ht="12.75" customHeight="1">
      <c r="A812" s="1741"/>
      <c r="B812" s="797" t="s">
        <v>2589</v>
      </c>
      <c r="C812" s="1739"/>
      <c r="D812" s="1862" t="s">
        <v>2276</v>
      </c>
      <c r="E812" s="1862"/>
      <c r="F812" s="1862"/>
      <c r="G812" s="677"/>
      <c r="I812" s="1773" t="s">
        <v>2470</v>
      </c>
    </row>
    <row r="813" spans="1:9" ht="14.25" customHeight="1">
      <c r="A813" s="1724"/>
      <c r="B813" s="1724"/>
      <c r="C813" s="1739"/>
      <c r="D813" s="5" t="s">
        <v>2252</v>
      </c>
      <c r="E813" s="1866" t="s">
        <v>2277</v>
      </c>
      <c r="F813" s="1866"/>
      <c r="G813" s="677"/>
    </row>
    <row r="814" spans="1:9" ht="12.75" customHeight="1">
      <c r="A814" s="1724"/>
      <c r="B814" s="1724"/>
      <c r="C814" s="1739"/>
      <c r="D814" s="1742"/>
      <c r="E814" s="6"/>
      <c r="F814" s="6"/>
      <c r="G814" s="677"/>
    </row>
    <row r="815" spans="1:9" ht="14.25" hidden="1" customHeight="1">
      <c r="A815" s="1724"/>
      <c r="B815" s="797" t="s">
        <v>315</v>
      </c>
      <c r="C815" s="1739"/>
      <c r="D815" s="1992" t="s">
        <v>2278</v>
      </c>
      <c r="E815" s="1992"/>
      <c r="F815" s="1992"/>
      <c r="G815" s="677"/>
    </row>
    <row r="816" spans="1:9" ht="12.75" hidden="1" customHeight="1">
      <c r="A816" s="1724"/>
      <c r="B816" s="1724"/>
      <c r="C816" s="1739"/>
      <c r="D816" s="1992"/>
      <c r="E816" s="1992"/>
      <c r="F816" s="1992"/>
      <c r="G816" s="677"/>
    </row>
    <row r="817" spans="1:9" ht="12.75" hidden="1" customHeight="1">
      <c r="A817" s="1724"/>
      <c r="B817" s="1724"/>
      <c r="C817" s="1739"/>
      <c r="D817" s="1992"/>
      <c r="E817" s="1992"/>
      <c r="F817" s="1992"/>
      <c r="G817" s="677"/>
    </row>
    <row r="818" spans="1:9" ht="12.75" hidden="1" customHeight="1">
      <c r="A818" s="1724"/>
      <c r="B818" s="1724"/>
      <c r="C818" s="1739"/>
      <c r="D818" s="1992"/>
      <c r="E818" s="1992"/>
      <c r="F818" s="1992"/>
      <c r="G818" s="677"/>
    </row>
    <row r="819" spans="1:9" ht="12.75" hidden="1" customHeight="1">
      <c r="A819" s="1724"/>
      <c r="B819" s="1724"/>
      <c r="C819" s="1739"/>
      <c r="D819" s="1992"/>
      <c r="E819" s="1992"/>
      <c r="F819" s="1992"/>
      <c r="G819" s="677"/>
    </row>
    <row r="820" spans="1:9" ht="12.75" hidden="1" customHeight="1">
      <c r="A820" s="1724"/>
      <c r="B820" s="1724"/>
      <c r="C820" s="1739"/>
      <c r="D820" s="1992"/>
      <c r="E820" s="1992"/>
      <c r="F820" s="1992"/>
      <c r="G820" s="677"/>
    </row>
    <row r="821" spans="1:9" ht="12.75" hidden="1" customHeight="1">
      <c r="A821" s="1724"/>
      <c r="B821" s="1724"/>
      <c r="C821" s="1739"/>
      <c r="D821" s="1992"/>
      <c r="E821" s="1992"/>
      <c r="F821" s="1992"/>
      <c r="G821" s="677"/>
    </row>
    <row r="822" spans="1:9" ht="12.75" hidden="1" customHeight="1">
      <c r="A822" s="1724"/>
      <c r="B822" s="1724"/>
      <c r="C822" s="1739"/>
      <c r="D822" s="1992"/>
      <c r="E822" s="1992"/>
      <c r="F822" s="1992"/>
      <c r="G822" s="677"/>
    </row>
    <row r="823" spans="1:9" ht="12.75" hidden="1" customHeight="1">
      <c r="A823" s="1724"/>
      <c r="B823" s="1724"/>
      <c r="C823" s="1739"/>
      <c r="D823" s="1992"/>
      <c r="E823" s="1992"/>
      <c r="F823" s="1992"/>
      <c r="G823" s="677"/>
    </row>
    <row r="824" spans="1:9" ht="12.75" hidden="1" customHeight="1">
      <c r="A824" s="1724"/>
      <c r="B824" s="1724"/>
      <c r="C824" s="1739"/>
      <c r="D824" s="1992"/>
      <c r="E824" s="1992"/>
      <c r="F824" s="1992"/>
      <c r="G824" s="677"/>
    </row>
    <row r="825" spans="1:9" ht="12.75" hidden="1" customHeight="1">
      <c r="A825" s="1724"/>
      <c r="B825" s="1724"/>
      <c r="C825" s="1739"/>
      <c r="D825" s="1742"/>
      <c r="E825" s="6"/>
      <c r="F825" s="6"/>
      <c r="G825" s="677"/>
    </row>
    <row r="826" spans="1:9" ht="12.75" customHeight="1">
      <c r="A826" s="713"/>
      <c r="B826" s="797" t="s">
        <v>2589</v>
      </c>
      <c r="C826" s="1739"/>
      <c r="D826" s="1862" t="s">
        <v>2279</v>
      </c>
      <c r="E826" s="1862"/>
      <c r="F826" s="1862"/>
      <c r="G826" s="677"/>
      <c r="I826" s="1773" t="s">
        <v>2490</v>
      </c>
    </row>
    <row r="827" spans="1:9" ht="12.75" customHeight="1">
      <c r="A827" s="713"/>
      <c r="B827" s="713"/>
      <c r="C827" s="1739"/>
      <c r="D827" s="1862"/>
      <c r="E827" s="1862"/>
      <c r="F827" s="1862"/>
      <c r="G827" s="677"/>
    </row>
    <row r="828" spans="1:9" ht="12.75" customHeight="1">
      <c r="A828" s="713"/>
      <c r="B828" s="713"/>
      <c r="C828" s="1739"/>
      <c r="D828" s="1862"/>
      <c r="E828" s="1862"/>
      <c r="F828" s="1862"/>
      <c r="G828" s="677"/>
    </row>
    <row r="829" spans="1:9" ht="12.75" customHeight="1">
      <c r="A829" s="402"/>
      <c r="B829" s="402"/>
      <c r="C829" s="1743"/>
      <c r="D829" s="1720"/>
      <c r="E829" s="677"/>
      <c r="F829" s="677"/>
      <c r="G829" s="677"/>
    </row>
    <row r="830" spans="1:9" ht="12.75" customHeight="1">
      <c r="A830" s="1744"/>
      <c r="B830" s="797" t="s">
        <v>2590</v>
      </c>
      <c r="C830" s="1743"/>
      <c r="D830" s="1993" t="s">
        <v>2280</v>
      </c>
      <c r="E830" s="1993"/>
      <c r="F830" s="1993"/>
      <c r="G830" s="677"/>
    </row>
    <row r="831" spans="1:9" ht="12.75" customHeight="1">
      <c r="A831" s="555"/>
      <c r="B831" s="1744"/>
      <c r="C831" s="1743"/>
      <c r="D831" s="1993"/>
      <c r="E831" s="1993"/>
      <c r="F831" s="1993"/>
      <c r="G831" s="677"/>
    </row>
    <row r="832" spans="1:9" ht="12.75" customHeight="1">
      <c r="A832" s="402"/>
      <c r="B832" s="555"/>
      <c r="C832" s="1743"/>
      <c r="D832" s="1864" t="s">
        <v>2281</v>
      </c>
      <c r="E832" s="1864"/>
      <c r="F832" s="1864"/>
      <c r="G832" s="677"/>
    </row>
    <row r="833" spans="1:9" ht="12.75" customHeight="1">
      <c r="A833" s="402"/>
      <c r="B833" s="402"/>
      <c r="C833" s="1743"/>
      <c r="D833" s="1864"/>
      <c r="E833" s="1864"/>
      <c r="F833" s="1864"/>
      <c r="G833" s="677"/>
    </row>
    <row r="834" spans="1:9" ht="12.75" customHeight="1">
      <c r="A834" s="402"/>
      <c r="B834" s="402"/>
      <c r="C834" s="1743"/>
      <c r="D834" s="1864"/>
      <c r="E834" s="1864"/>
      <c r="F834" s="1864"/>
      <c r="G834" s="677"/>
    </row>
    <row r="835" spans="1:9" ht="12.75" customHeight="1">
      <c r="A835" s="402"/>
      <c r="B835" s="402"/>
      <c r="C835" s="1743"/>
      <c r="D835" s="1864"/>
      <c r="E835" s="1864"/>
      <c r="F835" s="1864"/>
      <c r="G835" s="677"/>
    </row>
    <row r="836" spans="1:9" ht="12.75" customHeight="1">
      <c r="A836" s="402"/>
      <c r="B836" s="402"/>
      <c r="C836" s="1743"/>
      <c r="D836" s="1864"/>
      <c r="E836" s="1864"/>
      <c r="F836" s="1864"/>
      <c r="G836" s="677"/>
    </row>
    <row r="837" spans="1:9" ht="12.75" customHeight="1">
      <c r="A837" s="402"/>
      <c r="B837" s="402"/>
      <c r="C837" s="1743"/>
      <c r="D837" s="1864"/>
      <c r="E837" s="1864"/>
      <c r="F837" s="1864"/>
      <c r="G837" s="677"/>
    </row>
    <row r="838" spans="1:9" ht="12.75" customHeight="1">
      <c r="A838" s="402"/>
      <c r="B838" s="402"/>
      <c r="C838" s="1743"/>
      <c r="D838" s="1720"/>
      <c r="E838" s="677"/>
      <c r="F838" s="677"/>
      <c r="G838" s="677"/>
    </row>
    <row r="839" spans="1:9" ht="12.75" customHeight="1">
      <c r="A839" s="402"/>
      <c r="B839" s="797" t="s">
        <v>2590</v>
      </c>
      <c r="C839" s="1743"/>
      <c r="D839" s="1864" t="s">
        <v>2282</v>
      </c>
      <c r="E839" s="1864"/>
      <c r="F839" s="1864"/>
      <c r="G839" s="677"/>
      <c r="I839" s="1773" t="s">
        <v>2471</v>
      </c>
    </row>
    <row r="840" spans="1:9" ht="12.75" customHeight="1">
      <c r="A840" s="402"/>
      <c r="B840" s="402"/>
      <c r="C840" s="1743"/>
      <c r="D840" s="1864" t="s">
        <v>2283</v>
      </c>
      <c r="E840" s="1864"/>
      <c r="F840" s="1864"/>
      <c r="G840" s="677"/>
    </row>
    <row r="841" spans="1:9" ht="12.75" customHeight="1">
      <c r="A841" s="402"/>
      <c r="B841" s="402"/>
      <c r="C841" s="1743"/>
      <c r="D841" s="183" t="s">
        <v>2249</v>
      </c>
      <c r="E841" s="1994" t="s">
        <v>2284</v>
      </c>
      <c r="F841" s="1994"/>
      <c r="G841" s="677"/>
    </row>
    <row r="842" spans="1:9" ht="12.75" customHeight="1">
      <c r="A842" s="402"/>
      <c r="B842" s="402"/>
      <c r="C842" s="1743"/>
      <c r="D842" s="1720"/>
      <c r="E842" s="677"/>
      <c r="F842" s="677"/>
      <c r="G842" s="677"/>
    </row>
    <row r="843" spans="1:9" ht="12.75" customHeight="1">
      <c r="A843" s="402"/>
      <c r="B843" s="797" t="s">
        <v>2590</v>
      </c>
      <c r="C843" s="1743"/>
      <c r="D843" s="1864" t="s">
        <v>2285</v>
      </c>
      <c r="E843" s="1864"/>
      <c r="F843" s="1864"/>
      <c r="G843" s="677"/>
      <c r="I843" s="1773" t="s">
        <v>2491</v>
      </c>
    </row>
    <row r="844" spans="1:9" ht="12.75" customHeight="1">
      <c r="A844" s="402"/>
      <c r="B844" s="402"/>
      <c r="C844" s="1743"/>
      <c r="D844" s="1864"/>
      <c r="E844" s="1864"/>
      <c r="F844" s="1864"/>
      <c r="G844" s="677"/>
    </row>
    <row r="845" spans="1:9" ht="12.75" customHeight="1">
      <c r="A845" s="402"/>
      <c r="B845" s="402"/>
      <c r="C845" s="1743"/>
      <c r="D845" s="1864"/>
      <c r="E845" s="1864"/>
      <c r="F845" s="1864"/>
      <c r="G845" s="677"/>
    </row>
    <row r="846" spans="1:9" ht="12.75" customHeight="1">
      <c r="A846" s="402"/>
      <c r="B846" s="402"/>
      <c r="C846" s="1743"/>
      <c r="D846" s="1864"/>
      <c r="E846" s="1864"/>
      <c r="F846" s="1864"/>
      <c r="G846" s="677"/>
    </row>
    <row r="847" spans="1:9" ht="12.75" customHeight="1">
      <c r="A847" s="1713"/>
      <c r="B847" s="1713"/>
      <c r="C847" s="1745"/>
      <c r="D847" s="1707"/>
      <c r="E847" s="6"/>
      <c r="F847" s="6"/>
      <c r="G847" s="677"/>
    </row>
    <row r="848" spans="1:9" ht="12.75" customHeight="1">
      <c r="A848" s="1719" t="s">
        <v>2286</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2"/>
      <c r="D850" s="1886" t="s">
        <v>2324</v>
      </c>
      <c r="E850" s="1886"/>
      <c r="F850" s="1886"/>
      <c r="G850" s="1738"/>
    </row>
    <row r="851" spans="1:9" ht="12.75" customHeight="1">
      <c r="A851" s="1741"/>
      <c r="B851" s="1741"/>
      <c r="C851" s="312"/>
      <c r="D851" s="1995" t="s">
        <v>2287</v>
      </c>
      <c r="E851" s="1995"/>
      <c r="F851" s="1995"/>
      <c r="G851" s="1738"/>
    </row>
    <row r="852" spans="1:9" ht="12.75" customHeight="1">
      <c r="A852" s="1741"/>
      <c r="B852" s="1741"/>
      <c r="C852" s="312"/>
      <c r="D852" s="1749"/>
      <c r="E852" s="1749"/>
      <c r="F852" s="1749"/>
      <c r="G852" s="1738"/>
    </row>
    <row r="853" spans="1:9" ht="12.75" customHeight="1">
      <c r="A853" s="713"/>
      <c r="B853" s="797" t="s">
        <v>2589</v>
      </c>
      <c r="C853" s="555"/>
      <c r="D853" s="1887" t="s">
        <v>2288</v>
      </c>
      <c r="E853" s="1887"/>
      <c r="F853" s="1887"/>
      <c r="G853" s="1738"/>
      <c r="I853" s="1773" t="s">
        <v>2471</v>
      </c>
    </row>
    <row r="854" spans="1:9" ht="12.75" customHeight="1">
      <c r="A854" s="1741"/>
      <c r="B854" s="1741"/>
      <c r="C854" s="555"/>
      <c r="D854" s="5" t="s">
        <v>2249</v>
      </c>
      <c r="E854" s="1997" t="s">
        <v>2284</v>
      </c>
      <c r="F854" s="1997"/>
      <c r="G854" s="1738"/>
    </row>
    <row r="855" spans="1:9" ht="12.75" customHeight="1">
      <c r="A855" s="1741"/>
      <c r="B855" s="1741"/>
      <c r="C855" s="555"/>
      <c r="D855" s="1707"/>
      <c r="E855" s="1737"/>
      <c r="F855" s="1737"/>
      <c r="G855" s="1738"/>
    </row>
    <row r="856" spans="1:9" ht="12.75" customHeight="1">
      <c r="A856" s="713"/>
      <c r="B856" s="797" t="s">
        <v>2589</v>
      </c>
      <c r="C856" s="555"/>
      <c r="D856" s="1862" t="s">
        <v>2289</v>
      </c>
      <c r="E856" s="1936"/>
      <c r="F856" s="1936"/>
      <c r="G856" s="677"/>
      <c r="I856" s="1773" t="s">
        <v>2491</v>
      </c>
    </row>
    <row r="857" spans="1:9" ht="12.75" customHeight="1">
      <c r="A857" s="1741"/>
      <c r="B857" s="1741"/>
      <c r="C857" s="555"/>
      <c r="D857" s="1936"/>
      <c r="E857" s="1936"/>
      <c r="F857" s="1936"/>
      <c r="G857" s="677"/>
    </row>
    <row r="858" spans="1:9" ht="12.75" customHeight="1">
      <c r="A858" s="1741"/>
      <c r="B858" s="1741"/>
      <c r="C858" s="555"/>
      <c r="D858" s="1707"/>
      <c r="E858" s="6"/>
      <c r="F858" s="6"/>
      <c r="G858" s="677"/>
    </row>
    <row r="859" spans="1:9" ht="12.75" customHeight="1">
      <c r="A859" s="555"/>
      <c r="B859" s="797" t="s">
        <v>2590</v>
      </c>
      <c r="C859" s="556"/>
      <c r="D859" s="1998" t="s">
        <v>2290</v>
      </c>
      <c r="E859" s="1998"/>
      <c r="F859" s="1998"/>
      <c r="G859" s="1738"/>
    </row>
    <row r="860" spans="1:9" ht="12.75" customHeight="1">
      <c r="A860" s="555"/>
      <c r="B860" s="1750"/>
      <c r="C860" s="556"/>
      <c r="D860" s="1998"/>
      <c r="E860" s="1998"/>
      <c r="F860" s="1998"/>
      <c r="G860" s="1738"/>
    </row>
    <row r="861" spans="1:9" ht="12.75" customHeight="1">
      <c r="A861" s="713"/>
      <c r="B861" s="676"/>
      <c r="C861" s="555"/>
      <c r="D861" s="1864" t="s">
        <v>2281</v>
      </c>
      <c r="E861" s="1864"/>
      <c r="F861" s="1864"/>
      <c r="G861" s="1738"/>
    </row>
    <row r="862" spans="1:9" ht="12.75" customHeight="1">
      <c r="A862" s="713"/>
      <c r="B862" s="713"/>
      <c r="C862" s="555"/>
      <c r="D862" s="1864"/>
      <c r="E862" s="1864"/>
      <c r="F862" s="1864"/>
      <c r="G862" s="1738"/>
    </row>
    <row r="863" spans="1:9" ht="12.75" customHeight="1">
      <c r="A863" s="713"/>
      <c r="B863" s="713"/>
      <c r="C863" s="555"/>
      <c r="D863" s="1864"/>
      <c r="E863" s="1864"/>
      <c r="F863" s="1864"/>
      <c r="G863" s="1738"/>
    </row>
    <row r="864" spans="1:9" ht="12.75" customHeight="1">
      <c r="A864" s="713"/>
      <c r="B864" s="713"/>
      <c r="C864" s="555"/>
      <c r="D864" s="1864"/>
      <c r="E864" s="1864"/>
      <c r="F864" s="1864"/>
      <c r="G864" s="1738"/>
    </row>
    <row r="865" spans="1:9" ht="12.75" customHeight="1">
      <c r="A865" s="713"/>
      <c r="B865" s="713"/>
      <c r="C865" s="555"/>
      <c r="D865" s="1864"/>
      <c r="E865" s="1864"/>
      <c r="F865" s="1864"/>
      <c r="G865" s="1738"/>
    </row>
    <row r="866" spans="1:9" ht="12.75" customHeight="1">
      <c r="A866" s="713"/>
      <c r="B866" s="713"/>
      <c r="C866" s="555"/>
      <c r="D866" s="1864"/>
      <c r="E866" s="1864"/>
      <c r="F866" s="1864"/>
      <c r="G866" s="1738"/>
    </row>
    <row r="867" spans="1:9" ht="12.75" customHeight="1">
      <c r="A867" s="713"/>
      <c r="B867" s="713"/>
      <c r="C867" s="555"/>
      <c r="D867" s="1707"/>
      <c r="E867" s="1737"/>
      <c r="F867" s="1737"/>
      <c r="G867" s="1738"/>
    </row>
    <row r="868" spans="1:9" ht="12.75" customHeight="1">
      <c r="A868" s="713"/>
      <c r="B868" s="797" t="s">
        <v>2590</v>
      </c>
      <c r="C868" s="555"/>
      <c r="D868" s="1891" t="s">
        <v>2282</v>
      </c>
      <c r="E868" s="1891"/>
      <c r="F868" s="1891"/>
      <c r="G868" s="1738"/>
      <c r="I868" s="1773" t="s">
        <v>2471</v>
      </c>
    </row>
    <row r="869" spans="1:9" ht="12.75" customHeight="1">
      <c r="A869" s="713"/>
      <c r="B869" s="713"/>
      <c r="C869" s="555"/>
      <c r="D869" s="1891" t="s">
        <v>2283</v>
      </c>
      <c r="E869" s="1891"/>
      <c r="F869" s="1891"/>
      <c r="G869" s="1738"/>
    </row>
    <row r="870" spans="1:9" ht="12.75" customHeight="1">
      <c r="A870" s="713"/>
      <c r="B870" s="713"/>
      <c r="C870" s="555"/>
      <c r="D870" s="5" t="s">
        <v>1501</v>
      </c>
      <c r="E870" s="1999" t="s">
        <v>2284</v>
      </c>
      <c r="F870" s="1999"/>
      <c r="G870" s="1738"/>
    </row>
    <row r="871" spans="1:9" ht="12.75" customHeight="1">
      <c r="A871" s="713"/>
      <c r="B871" s="713"/>
      <c r="C871" s="555"/>
      <c r="D871" s="1707"/>
      <c r="E871" s="1737"/>
      <c r="F871" s="1737"/>
      <c r="G871" s="1738"/>
    </row>
    <row r="872" spans="1:9" ht="12.75" customHeight="1">
      <c r="A872" s="713"/>
      <c r="B872" s="797" t="s">
        <v>2590</v>
      </c>
      <c r="C872" s="555"/>
      <c r="D872" s="1862" t="s">
        <v>2285</v>
      </c>
      <c r="E872" s="1862"/>
      <c r="F872" s="1862"/>
      <c r="G872" s="1738"/>
      <c r="I872" s="1773" t="s">
        <v>2491</v>
      </c>
    </row>
    <row r="873" spans="1:9" ht="12.75" customHeight="1">
      <c r="A873" s="713"/>
      <c r="B873" s="713"/>
      <c r="C873" s="555"/>
      <c r="D873" s="1862"/>
      <c r="E873" s="1862"/>
      <c r="F873" s="1862"/>
      <c r="G873" s="1738"/>
    </row>
    <row r="874" spans="1:9" ht="12.75" customHeight="1">
      <c r="A874" s="713"/>
      <c r="B874" s="713"/>
      <c r="C874" s="555"/>
      <c r="D874" s="1862"/>
      <c r="E874" s="1862"/>
      <c r="F874" s="1862"/>
      <c r="G874" s="1738"/>
    </row>
    <row r="875" spans="1:9" ht="12.75" customHeight="1">
      <c r="A875" s="713"/>
      <c r="B875" s="713"/>
      <c r="C875" s="555"/>
      <c r="D875" s="1862"/>
      <c r="E875" s="1862"/>
      <c r="F875" s="1862"/>
      <c r="G875" s="1738"/>
    </row>
    <row r="876" spans="1:9" ht="12.75" customHeight="1">
      <c r="A876" s="1708"/>
      <c r="B876" s="1708"/>
      <c r="C876" s="1739"/>
      <c r="D876" s="1737"/>
      <c r="E876" s="1737"/>
      <c r="F876" s="1737"/>
      <c r="G876" s="1738"/>
    </row>
    <row r="877" spans="1:9" ht="12.75" customHeight="1">
      <c r="A877" s="1897" t="s">
        <v>2325</v>
      </c>
      <c r="B877" s="1897"/>
      <c r="C877" s="1897"/>
      <c r="D877" s="1897"/>
      <c r="E877" s="1897"/>
      <c r="F877" s="1897"/>
      <c r="G877" s="1897"/>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6" t="s">
        <v>2331</v>
      </c>
      <c r="E879" s="1906"/>
      <c r="F879" s="1906"/>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2589</v>
      </c>
      <c r="C881" s="93"/>
      <c r="D881" s="1721" t="s">
        <v>2332</v>
      </c>
      <c r="E881" s="1715"/>
      <c r="F881" s="1715"/>
      <c r="G881" s="93"/>
      <c r="I881" s="1773" t="s">
        <v>2505</v>
      </c>
    </row>
    <row r="882" spans="1:9" s="1771" customFormat="1" ht="12.75" customHeight="1">
      <c r="A882" s="93"/>
      <c r="B882" s="93"/>
      <c r="C882" s="93"/>
      <c r="D882" s="1715"/>
      <c r="E882" s="1715"/>
      <c r="F882" s="1715"/>
      <c r="G882" s="93"/>
      <c r="I882" s="1773"/>
    </row>
    <row r="883" spans="1:9" ht="12.75" customHeight="1">
      <c r="A883" s="1741"/>
      <c r="B883" s="1741"/>
      <c r="C883" s="1739"/>
      <c r="D883" s="1906" t="s">
        <v>2326</v>
      </c>
      <c r="E883" s="1906"/>
      <c r="F883" s="1906"/>
      <c r="G883" s="1738"/>
    </row>
    <row r="884" spans="1:9" ht="12.75" customHeight="1">
      <c r="A884" s="1713"/>
      <c r="B884" s="1713"/>
      <c r="C884" s="1745"/>
      <c r="D884" s="1887" t="s">
        <v>2291</v>
      </c>
      <c r="E884" s="1887"/>
      <c r="F884" s="1887"/>
      <c r="G884" s="1738"/>
    </row>
    <row r="885" spans="1:9" ht="12.75" customHeight="1">
      <c r="A885" s="1755"/>
      <c r="B885" s="1755"/>
      <c r="C885" s="1739"/>
      <c r="D885" s="5"/>
      <c r="E885" s="1737"/>
      <c r="F885" s="1737"/>
      <c r="G885" s="1738"/>
    </row>
    <row r="886" spans="1:9" ht="12.75" customHeight="1">
      <c r="A886" s="713"/>
      <c r="B886" s="797" t="s">
        <v>2589</v>
      </c>
      <c r="C886" s="555"/>
      <c r="D886" s="1862" t="s">
        <v>2295</v>
      </c>
      <c r="E886" s="1862"/>
      <c r="F886" s="1862"/>
      <c r="G886" s="677"/>
      <c r="I886" s="1773" t="s">
        <v>2455</v>
      </c>
    </row>
    <row r="887" spans="1:9" ht="12.75" customHeight="1">
      <c r="A887" s="1741"/>
      <c r="B887" s="1741"/>
      <c r="C887" s="555"/>
      <c r="D887" s="1862"/>
      <c r="E887" s="1862"/>
      <c r="F887" s="1862"/>
      <c r="G887" s="677"/>
    </row>
    <row r="888" spans="1:9" s="1771" customFormat="1" ht="12.75" customHeight="1">
      <c r="A888" s="1845"/>
      <c r="B888" s="1845"/>
      <c r="C888" s="1745"/>
      <c r="D888" s="1862" t="s">
        <v>2294</v>
      </c>
      <c r="E888" s="1862"/>
      <c r="F888" s="1862"/>
      <c r="G888" s="1738"/>
      <c r="I888" s="1773"/>
    </row>
    <row r="889" spans="1:9" s="1771" customFormat="1" ht="12.75" customHeight="1">
      <c r="A889" s="1845"/>
      <c r="B889" s="1845"/>
      <c r="C889" s="1745"/>
      <c r="D889" s="1862"/>
      <c r="E889" s="1862"/>
      <c r="F889" s="1862"/>
      <c r="G889" s="1738"/>
      <c r="I889" s="1773"/>
    </row>
    <row r="890" spans="1:9" ht="12.75" customHeight="1">
      <c r="A890" s="1713"/>
      <c r="B890" s="1713"/>
      <c r="C890" s="1745"/>
      <c r="D890" s="6"/>
      <c r="E890" s="6"/>
      <c r="F890" s="1737"/>
      <c r="G890" s="1738"/>
    </row>
    <row r="891" spans="1:9" ht="12.75" customHeight="1">
      <c r="A891" s="402"/>
      <c r="B891" s="797" t="s">
        <v>2589</v>
      </c>
      <c r="C891" s="485"/>
      <c r="D891" s="1994" t="s">
        <v>2292</v>
      </c>
      <c r="E891" s="1994"/>
      <c r="F891" s="1994"/>
      <c r="G891" s="1738"/>
      <c r="I891" s="1773" t="s">
        <v>2454</v>
      </c>
    </row>
    <row r="892" spans="1:9" ht="12.75" customHeight="1">
      <c r="A892" s="402"/>
      <c r="B892" s="402"/>
      <c r="C892" s="485"/>
      <c r="D892" s="1994"/>
      <c r="E892" s="1994"/>
      <c r="F892" s="1994"/>
      <c r="G892" s="1738"/>
    </row>
    <row r="893" spans="1:9" ht="12.75" customHeight="1">
      <c r="A893" s="402"/>
      <c r="B893" s="402"/>
      <c r="C893" s="485"/>
      <c r="D893" s="1994"/>
      <c r="E893" s="1994"/>
      <c r="F893" s="1994"/>
      <c r="G893" s="1738"/>
    </row>
    <row r="894" spans="1:9" s="1771" customFormat="1" ht="12.75" customHeight="1">
      <c r="A894" s="402"/>
      <c r="B894" s="402"/>
      <c r="C894" s="485"/>
      <c r="D894" s="1994"/>
      <c r="E894" s="1994"/>
      <c r="F894" s="1994"/>
      <c r="G894" s="1738"/>
      <c r="I894" s="1773"/>
    </row>
    <row r="895" spans="1:9" ht="12.75" customHeight="1">
      <c r="A895" s="402"/>
      <c r="B895" s="402"/>
      <c r="C895" s="485"/>
      <c r="D895" s="1994"/>
      <c r="E895" s="1994"/>
      <c r="F895" s="1994"/>
      <c r="G895" s="1738"/>
    </row>
    <row r="896" spans="1:9" ht="12.75" customHeight="1">
      <c r="A896" s="486"/>
      <c r="B896" s="486"/>
      <c r="C896" s="485"/>
      <c r="D896" s="1994"/>
      <c r="E896" s="1994"/>
      <c r="F896" s="1994"/>
      <c r="G896" s="1738"/>
    </row>
    <row r="897" spans="1:9" ht="12.75" customHeight="1">
      <c r="A897" s="486"/>
      <c r="B897" s="486"/>
      <c r="C897" s="485"/>
      <c r="D897" s="1994"/>
      <c r="E897" s="1994"/>
      <c r="F897" s="1994"/>
      <c r="G897" s="1738"/>
    </row>
    <row r="898" spans="1:9" ht="12.75" customHeight="1">
      <c r="A898" s="486"/>
      <c r="B898" s="486"/>
      <c r="C898" s="485"/>
      <c r="D898" s="1994"/>
      <c r="E898" s="1994"/>
      <c r="F898" s="1994"/>
      <c r="G898" s="1738"/>
    </row>
    <row r="899" spans="1:9" s="1771" customFormat="1" ht="12.75" customHeight="1">
      <c r="A899" s="486"/>
      <c r="B899" s="486"/>
      <c r="C899" s="485"/>
      <c r="D899" s="1846"/>
      <c r="E899" s="1846"/>
      <c r="F899" s="1846"/>
      <c r="G899" s="1738"/>
      <c r="I899" s="1773"/>
    </row>
    <row r="900" spans="1:9" ht="12.75" customHeight="1">
      <c r="A900" s="1755"/>
      <c r="B900" s="797" t="s">
        <v>2590</v>
      </c>
      <c r="C900" s="1739"/>
      <c r="D900" s="1862" t="s">
        <v>2296</v>
      </c>
      <c r="E900" s="1862"/>
      <c r="F900" s="1862"/>
      <c r="G900" s="1738"/>
    </row>
    <row r="901" spans="1:9" ht="12.75" customHeight="1">
      <c r="A901" s="1755"/>
      <c r="B901" s="1755"/>
      <c r="C901" s="1739"/>
      <c r="D901" s="1862"/>
      <c r="E901" s="1862"/>
      <c r="F901" s="1862"/>
      <c r="G901" s="1738"/>
    </row>
    <row r="902" spans="1:9" ht="12.75" customHeight="1">
      <c r="A902" s="1755"/>
      <c r="B902" s="1755"/>
      <c r="C902" s="1739"/>
      <c r="D902" s="1737"/>
      <c r="E902" s="1737"/>
      <c r="F902" s="1737"/>
      <c r="G902" s="1738"/>
    </row>
    <row r="903" spans="1:9" ht="12.75" customHeight="1">
      <c r="A903" s="1755"/>
      <c r="B903" s="797" t="s">
        <v>2590</v>
      </c>
      <c r="C903" s="1739"/>
      <c r="D903" s="1920" t="s">
        <v>2297</v>
      </c>
      <c r="E903" s="1920"/>
      <c r="F903" s="1920"/>
      <c r="G903" s="1738"/>
    </row>
    <row r="904" spans="1:9" ht="12.75" customHeight="1">
      <c r="A904" s="1755"/>
      <c r="B904" s="1755"/>
      <c r="C904" s="1739"/>
      <c r="D904" s="1920"/>
      <c r="E904" s="1920"/>
      <c r="F904" s="1920"/>
      <c r="G904" s="1738"/>
    </row>
    <row r="905" spans="1:9" ht="12.75" customHeight="1">
      <c r="A905" s="1755"/>
      <c r="B905" s="1755"/>
      <c r="C905" s="1739"/>
      <c r="D905" s="1920"/>
      <c r="E905" s="1920"/>
      <c r="F905" s="1920"/>
      <c r="G905" s="1738"/>
    </row>
    <row r="906" spans="1:9" ht="12.75" customHeight="1">
      <c r="A906" s="1755"/>
      <c r="B906" s="1755"/>
      <c r="C906" s="1739"/>
      <c r="D906" s="1920"/>
      <c r="E906" s="1920"/>
      <c r="F906" s="1920"/>
      <c r="G906" s="1738"/>
    </row>
    <row r="907" spans="1:9" ht="12.75" customHeight="1">
      <c r="A907" s="1755"/>
      <c r="B907" s="1755"/>
      <c r="C907" s="1739"/>
      <c r="D907" s="1707"/>
      <c r="E907" s="1737"/>
      <c r="F907" s="1737"/>
      <c r="G907" s="1738"/>
    </row>
    <row r="908" spans="1:9" ht="12.75" customHeight="1">
      <c r="A908" s="1755"/>
      <c r="B908" s="797" t="s">
        <v>2590</v>
      </c>
      <c r="C908" s="1739"/>
      <c r="D908" s="1887" t="s">
        <v>2298</v>
      </c>
      <c r="E908" s="1887"/>
      <c r="F908" s="1887"/>
      <c r="G908" s="1738"/>
    </row>
    <row r="909" spans="1:9" ht="12.75" customHeight="1">
      <c r="A909" s="1755"/>
      <c r="B909" s="1755"/>
      <c r="C909" s="1739"/>
      <c r="D909" s="1707"/>
      <c r="E909" s="1737"/>
      <c r="F909" s="1737"/>
      <c r="G909" s="1738"/>
    </row>
    <row r="910" spans="1:9" ht="12.75" customHeight="1">
      <c r="A910" s="1755"/>
      <c r="B910" s="797" t="s">
        <v>2590</v>
      </c>
      <c r="C910" s="1739"/>
      <c r="D910" s="1887" t="s">
        <v>2299</v>
      </c>
      <c r="E910" s="1887"/>
      <c r="F910" s="1887"/>
      <c r="G910" s="1738"/>
    </row>
    <row r="911" spans="1:9" ht="12.75" customHeight="1">
      <c r="A911" s="486"/>
      <c r="B911" s="486"/>
      <c r="C911" s="485"/>
      <c r="D911" s="183"/>
      <c r="E911" s="677"/>
      <c r="F911" s="1738"/>
      <c r="G911" s="1738"/>
    </row>
    <row r="912" spans="1:9" ht="12.75" customHeight="1">
      <c r="A912" s="1751"/>
      <c r="B912" s="797" t="s">
        <v>2589</v>
      </c>
      <c r="C912" s="1752"/>
      <c r="D912" s="1994" t="s">
        <v>2293</v>
      </c>
      <c r="E912" s="1994"/>
      <c r="F912" s="1994"/>
      <c r="G912" s="1753"/>
      <c r="I912" s="1773" t="s">
        <v>2506</v>
      </c>
    </row>
    <row r="913" spans="1:9" ht="12.75" customHeight="1">
      <c r="A913" s="1751"/>
      <c r="B913" s="1751"/>
      <c r="C913" s="1752"/>
      <c r="D913" s="1994"/>
      <c r="E913" s="1994"/>
      <c r="F913" s="1994"/>
      <c r="G913" s="1753"/>
    </row>
    <row r="914" spans="1:9" ht="12.75" customHeight="1">
      <c r="A914" s="1751"/>
      <c r="B914" s="1751"/>
      <c r="C914" s="1752"/>
      <c r="D914" s="1994"/>
      <c r="E914" s="1994"/>
      <c r="F914" s="1994"/>
      <c r="G914" s="1753"/>
    </row>
    <row r="915" spans="1:9" ht="12.75" customHeight="1">
      <c r="A915" s="1751"/>
      <c r="B915" s="1751"/>
      <c r="C915" s="1752"/>
      <c r="D915" s="1994"/>
      <c r="E915" s="1994"/>
      <c r="F915" s="1994"/>
      <c r="G915" s="1753"/>
    </row>
    <row r="916" spans="1:9" ht="12.75" customHeight="1">
      <c r="A916" s="1751"/>
      <c r="B916" s="1751"/>
      <c r="C916" s="1752"/>
      <c r="D916" s="1994"/>
      <c r="E916" s="1994"/>
      <c r="F916" s="1994"/>
      <c r="G916" s="1753"/>
    </row>
    <row r="917" spans="1:9" ht="12.75" customHeight="1">
      <c r="A917" s="1751"/>
      <c r="B917" s="1751"/>
      <c r="C917" s="1752"/>
      <c r="D917" s="1994"/>
      <c r="E917" s="1994"/>
      <c r="F917" s="1994"/>
      <c r="G917" s="1753"/>
    </row>
    <row r="918" spans="1:9" ht="12.75" customHeight="1">
      <c r="A918" s="1751"/>
      <c r="B918" s="1751"/>
      <c r="C918" s="1752"/>
      <c r="D918" s="1994"/>
      <c r="E918" s="1994"/>
      <c r="F918" s="1994"/>
      <c r="G918" s="1753"/>
    </row>
    <row r="919" spans="1:9" ht="12.75" customHeight="1">
      <c r="A919" s="1751"/>
      <c r="B919" s="1751"/>
      <c r="C919" s="1752"/>
      <c r="D919" s="1994"/>
      <c r="E919" s="1994"/>
      <c r="F919" s="1994"/>
      <c r="G919" s="1753"/>
    </row>
    <row r="920" spans="1:9" ht="12.75" customHeight="1">
      <c r="A920" s="1751"/>
      <c r="B920" s="1751"/>
      <c r="C920" s="1752"/>
      <c r="D920" s="1994"/>
      <c r="E920" s="1994"/>
      <c r="F920" s="1994"/>
      <c r="G920" s="1753"/>
    </row>
    <row r="921" spans="1:9" ht="12.75" customHeight="1">
      <c r="A921" s="486"/>
      <c r="B921" s="486"/>
      <c r="C921" s="485"/>
      <c r="D921" s="183"/>
      <c r="E921" s="677"/>
      <c r="F921" s="1738"/>
      <c r="G921" s="1738"/>
    </row>
    <row r="922" spans="1:9" ht="12.75" customHeight="1">
      <c r="A922" s="402"/>
      <c r="B922" s="797" t="s">
        <v>2589</v>
      </c>
      <c r="C922" s="485"/>
      <c r="D922" s="1996" t="s">
        <v>2509</v>
      </c>
      <c r="E922" s="1996"/>
      <c r="F922" s="1996"/>
      <c r="G922" s="1738"/>
      <c r="I922" s="1773" t="s">
        <v>2506</v>
      </c>
    </row>
    <row r="923" spans="1:9" ht="12.75" customHeight="1">
      <c r="A923" s="402"/>
      <c r="B923" s="402"/>
      <c r="C923" s="485"/>
      <c r="D923" s="1996"/>
      <c r="E923" s="1996"/>
      <c r="F923" s="1996"/>
      <c r="G923" s="1738"/>
    </row>
    <row r="924" spans="1:9" ht="12.75" customHeight="1">
      <c r="A924" s="402"/>
      <c r="B924" s="402"/>
      <c r="C924" s="485"/>
      <c r="D924" s="1996"/>
      <c r="E924" s="1996"/>
      <c r="F924" s="1996"/>
      <c r="G924" s="1738"/>
    </row>
    <row r="925" spans="1:9" ht="12.75" customHeight="1">
      <c r="A925" s="402"/>
      <c r="B925" s="402"/>
      <c r="C925" s="485"/>
      <c r="D925" s="1996"/>
      <c r="E925" s="1996"/>
      <c r="F925" s="1996"/>
      <c r="G925" s="1738"/>
    </row>
    <row r="926" spans="1:9" ht="12.75" customHeight="1">
      <c r="A926" s="402"/>
      <c r="B926" s="402"/>
      <c r="C926" s="485"/>
      <c r="D926" s="1996"/>
      <c r="E926" s="1996"/>
      <c r="F926" s="1996"/>
      <c r="G926" s="1738"/>
    </row>
    <row r="927" spans="1:9" ht="12.75" customHeight="1">
      <c r="A927" s="402"/>
      <c r="B927" s="402"/>
      <c r="C927" s="485"/>
      <c r="D927" s="1996"/>
      <c r="E927" s="1996"/>
      <c r="F927" s="1996"/>
      <c r="G927" s="1738"/>
    </row>
    <row r="928" spans="1:9" ht="12.75" customHeight="1">
      <c r="A928" s="402"/>
      <c r="B928" s="402"/>
      <c r="C928" s="485"/>
      <c r="D928" s="1996"/>
      <c r="E928" s="1996"/>
      <c r="F928" s="1996"/>
      <c r="G928" s="1738"/>
    </row>
    <row r="929" spans="1:9" s="1771" customFormat="1" ht="12.75" customHeight="1">
      <c r="A929" s="402"/>
      <c r="B929" s="402"/>
      <c r="C929" s="485"/>
      <c r="D929" s="1847"/>
      <c r="E929" s="1847"/>
      <c r="F929" s="1847"/>
      <c r="G929" s="1738"/>
      <c r="I929" s="1773"/>
    </row>
    <row r="930" spans="1:9" s="1771" customFormat="1" ht="12.75" customHeight="1">
      <c r="A930" s="402"/>
      <c r="B930" s="1774" t="s">
        <v>2590</v>
      </c>
      <c r="C930" s="485"/>
      <c r="D930" s="1922" t="s">
        <v>2507</v>
      </c>
      <c r="E930" s="1922"/>
      <c r="F930" s="1922"/>
      <c r="G930" s="1738"/>
      <c r="I930" s="1773"/>
    </row>
    <row r="931" spans="1:9" s="1771" customFormat="1" ht="12.75" customHeight="1">
      <c r="A931" s="402"/>
      <c r="B931" s="402"/>
      <c r="C931" s="485"/>
      <c r="D931" s="1922"/>
      <c r="E931" s="1922"/>
      <c r="F931" s="1922"/>
      <c r="G931" s="1738"/>
      <c r="I931" s="1773"/>
    </row>
    <row r="932" spans="1:9" s="1771" customFormat="1" ht="12.75" customHeight="1">
      <c r="A932" s="402"/>
      <c r="B932" s="402"/>
      <c r="C932" s="485"/>
      <c r="D932" s="1922"/>
      <c r="E932" s="1922"/>
      <c r="F932" s="1922"/>
      <c r="G932" s="1738"/>
      <c r="I932" s="1773"/>
    </row>
    <row r="933" spans="1:9" s="1771" customFormat="1" ht="12.75" customHeight="1">
      <c r="A933" s="402"/>
      <c r="B933" s="402"/>
      <c r="C933" s="485"/>
      <c r="D933" s="1922"/>
      <c r="E933" s="1922"/>
      <c r="F933" s="1922"/>
      <c r="G933" s="1738"/>
      <c r="I933" s="1773"/>
    </row>
    <row r="934" spans="1:9" s="1771" customFormat="1" ht="12.75" customHeight="1">
      <c r="A934" s="402"/>
      <c r="B934" s="402"/>
      <c r="C934" s="485"/>
      <c r="D934" s="1922"/>
      <c r="E934" s="1922"/>
      <c r="F934" s="1922"/>
      <c r="G934" s="1738"/>
      <c r="I934" s="1773"/>
    </row>
    <row r="935" spans="1:9" s="1771" customFormat="1" ht="12.75" customHeight="1">
      <c r="A935" s="402"/>
      <c r="B935" s="402"/>
      <c r="C935" s="485"/>
      <c r="D935" s="1922"/>
      <c r="E935" s="1922"/>
      <c r="F935" s="1922"/>
      <c r="G935" s="1738"/>
      <c r="I935" s="1773"/>
    </row>
    <row r="936" spans="1:9" s="1771" customFormat="1" ht="12.75" customHeight="1">
      <c r="A936" s="402"/>
      <c r="B936" s="402"/>
      <c r="C936" s="485"/>
      <c r="D936" s="1847"/>
      <c r="E936" s="1847"/>
      <c r="F936" s="1847"/>
      <c r="G936" s="1738"/>
      <c r="I936" s="1773"/>
    </row>
    <row r="937" spans="1:9" ht="12.75" customHeight="1">
      <c r="A937" s="1755"/>
      <c r="B937" s="797" t="s">
        <v>2590</v>
      </c>
      <c r="C937" s="1739"/>
      <c r="D937" s="2000" t="s">
        <v>2300</v>
      </c>
      <c r="E937" s="2000"/>
      <c r="F937" s="2000"/>
      <c r="G937" s="1738"/>
    </row>
    <row r="938" spans="1:9" ht="12.75" customHeight="1">
      <c r="A938" s="1755"/>
      <c r="B938" s="1755"/>
      <c r="C938" s="1739"/>
      <c r="D938" s="2000"/>
      <c r="E938" s="2000"/>
      <c r="F938" s="2000"/>
      <c r="G938" s="1738"/>
    </row>
    <row r="939" spans="1:9" ht="12.75" customHeight="1">
      <c r="A939" s="1755"/>
      <c r="B939" s="1755"/>
      <c r="C939" s="1739"/>
      <c r="D939" s="2000"/>
      <c r="E939" s="2000"/>
      <c r="F939" s="2000"/>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2590</v>
      </c>
      <c r="C942" s="485"/>
      <c r="D942" s="1994" t="s">
        <v>2508</v>
      </c>
      <c r="E942" s="1994"/>
      <c r="F942" s="1994"/>
      <c r="G942" s="1738"/>
      <c r="I942" s="1773" t="s">
        <v>2506</v>
      </c>
    </row>
    <row r="943" spans="1:9" ht="12.75" customHeight="1">
      <c r="A943" s="402"/>
      <c r="B943" s="402"/>
      <c r="C943" s="485"/>
      <c r="D943" s="1994"/>
      <c r="E943" s="1994"/>
      <c r="F943" s="1994"/>
      <c r="G943" s="1738"/>
    </row>
    <row r="944" spans="1:9" ht="12.75" customHeight="1">
      <c r="A944" s="402"/>
      <c r="B944" s="402"/>
      <c r="C944" s="485"/>
      <c r="D944" s="1994"/>
      <c r="E944" s="1994"/>
      <c r="F944" s="1994"/>
      <c r="G944" s="1738"/>
    </row>
    <row r="945" spans="1:9" ht="12.75" customHeight="1">
      <c r="A945" s="402"/>
      <c r="B945" s="402"/>
      <c r="C945" s="485"/>
      <c r="D945" s="1994"/>
      <c r="E945" s="1994"/>
      <c r="F945" s="1994"/>
      <c r="G945" s="1738"/>
    </row>
    <row r="946" spans="1:9" ht="12.75" customHeight="1">
      <c r="A946" s="1757"/>
      <c r="B946" s="1757"/>
      <c r="C946" s="1743"/>
      <c r="D946" s="1704"/>
      <c r="E946" s="1704"/>
      <c r="F946" s="1704"/>
      <c r="G946" s="1704"/>
    </row>
    <row r="947" spans="1:9" ht="12.75" customHeight="1">
      <c r="A947" s="1741"/>
      <c r="B947" s="1741"/>
      <c r="C947" s="555"/>
      <c r="D947" s="1886" t="s">
        <v>2301</v>
      </c>
      <c r="E947" s="1886"/>
      <c r="F947" s="1886"/>
      <c r="G947" s="677"/>
    </row>
    <row r="948" spans="1:9" ht="12.75" customHeight="1">
      <c r="A948" s="713"/>
      <c r="B948" s="797" t="s">
        <v>2590</v>
      </c>
      <c r="C948" s="555"/>
      <c r="D948" s="1887" t="s">
        <v>2327</v>
      </c>
      <c r="E948" s="1887"/>
      <c r="F948" s="1887"/>
      <c r="G948" s="677"/>
      <c r="I948" s="1773" t="s">
        <v>2506</v>
      </c>
    </row>
    <row r="949" spans="1:9" ht="12.75" customHeight="1">
      <c r="A949" s="1741"/>
      <c r="B949" s="1741"/>
      <c r="C949" s="555"/>
      <c r="D949" s="6"/>
      <c r="E949" s="6"/>
      <c r="F949" s="6"/>
      <c r="G949" s="677"/>
    </row>
    <row r="950" spans="1:9" ht="12.75" customHeight="1">
      <c r="A950" s="1741"/>
      <c r="B950" s="1741"/>
      <c r="C950" s="555"/>
      <c r="D950" s="1886" t="s">
        <v>2302</v>
      </c>
      <c r="E950" s="1886"/>
      <c r="F950" s="1886"/>
      <c r="G950" s="676"/>
    </row>
    <row r="951" spans="1:9" ht="12.75" customHeight="1">
      <c r="A951" s="713"/>
      <c r="B951" s="797" t="s">
        <v>2590</v>
      </c>
      <c r="C951" s="555"/>
      <c r="D951" s="1862" t="s">
        <v>2303</v>
      </c>
      <c r="E951" s="1862"/>
      <c r="F951" s="1862"/>
      <c r="G951" s="676"/>
      <c r="I951" s="1773" t="s">
        <v>2506</v>
      </c>
    </row>
    <row r="952" spans="1:9" ht="12.75" customHeight="1">
      <c r="A952" s="713"/>
      <c r="B952" s="713"/>
      <c r="C952" s="555"/>
      <c r="D952" s="1862"/>
      <c r="E952" s="1862"/>
      <c r="F952" s="1862"/>
      <c r="G952" s="676"/>
    </row>
    <row r="953" spans="1:9" ht="12.75" customHeight="1">
      <c r="A953" s="713"/>
      <c r="B953" s="713"/>
      <c r="C953" s="555"/>
      <c r="D953" s="1862"/>
      <c r="E953" s="1862"/>
      <c r="F953" s="1862"/>
      <c r="G953" s="676"/>
    </row>
    <row r="954" spans="1:9" ht="12.75" customHeight="1">
      <c r="A954" s="713"/>
      <c r="B954" s="713"/>
      <c r="C954" s="555"/>
      <c r="D954" s="1862"/>
      <c r="E954" s="1862"/>
      <c r="F954" s="1862"/>
      <c r="G954" s="676"/>
    </row>
    <row r="955" spans="1:9" ht="12.75" customHeight="1">
      <c r="A955" s="713"/>
      <c r="B955" s="713"/>
      <c r="C955" s="555"/>
      <c r="D955" s="1862"/>
      <c r="E955" s="1862"/>
      <c r="F955" s="1862"/>
      <c r="G955" s="676"/>
    </row>
    <row r="956" spans="1:9" ht="12.75" customHeight="1">
      <c r="A956" s="713"/>
      <c r="B956" s="713"/>
      <c r="C956" s="555"/>
      <c r="D956" s="1862"/>
      <c r="E956" s="1862"/>
      <c r="F956" s="1862"/>
      <c r="G956" s="676"/>
    </row>
    <row r="957" spans="1:9" ht="12.75" customHeight="1">
      <c r="A957" s="713"/>
      <c r="B957" s="713"/>
      <c r="C957" s="555"/>
      <c r="D957" s="1862"/>
      <c r="E957" s="1862"/>
      <c r="F957" s="1862"/>
      <c r="G957" s="676"/>
    </row>
    <row r="958" spans="1:9" ht="12.75" customHeight="1">
      <c r="A958" s="713"/>
      <c r="B958" s="713"/>
      <c r="C958" s="555"/>
      <c r="D958" s="1862"/>
      <c r="E958" s="1862"/>
      <c r="F958" s="1862"/>
      <c r="G958" s="676"/>
    </row>
    <row r="959" spans="1:9" ht="12.75" customHeight="1">
      <c r="A959" s="713"/>
      <c r="B959" s="713"/>
      <c r="C959" s="555"/>
      <c r="D959" s="1862"/>
      <c r="E959" s="1862"/>
      <c r="F959" s="1862"/>
      <c r="G959" s="676"/>
    </row>
    <row r="960" spans="1:9" ht="12.75" customHeight="1">
      <c r="A960" s="713"/>
      <c r="B960" s="713"/>
      <c r="C960" s="555"/>
      <c r="D960" s="1862"/>
      <c r="E960" s="1862"/>
      <c r="F960" s="1862"/>
      <c r="G960" s="676"/>
    </row>
    <row r="961" spans="1:9" ht="12.75" customHeight="1">
      <c r="A961" s="713"/>
      <c r="B961" s="713"/>
      <c r="C961" s="555"/>
      <c r="D961" s="1862"/>
      <c r="E961" s="1862"/>
      <c r="F961" s="1862"/>
      <c r="G961" s="676"/>
    </row>
    <row r="962" spans="1:9" ht="12.75" customHeight="1">
      <c r="A962" s="713"/>
      <c r="B962" s="713"/>
      <c r="C962" s="555"/>
      <c r="D962" s="1862"/>
      <c r="E962" s="1862"/>
      <c r="F962" s="1862"/>
      <c r="G962" s="676"/>
    </row>
    <row r="963" spans="1:9" s="1771" customFormat="1" ht="12.75" customHeight="1">
      <c r="A963" s="713"/>
      <c r="B963" s="713"/>
      <c r="C963" s="555"/>
      <c r="D963" s="1862"/>
      <c r="E963" s="1862"/>
      <c r="F963" s="1862"/>
      <c r="G963" s="676"/>
      <c r="I963" s="1773"/>
    </row>
    <row r="964" spans="1:9" ht="12.75" customHeight="1">
      <c r="A964" s="713"/>
      <c r="B964" s="713"/>
      <c r="C964" s="555"/>
      <c r="D964" s="1862"/>
      <c r="E964" s="1862"/>
      <c r="F964" s="1862"/>
      <c r="G964" s="676"/>
    </row>
    <row r="965" spans="1:9" ht="12.75" customHeight="1">
      <c r="A965" s="713"/>
      <c r="B965" s="713"/>
      <c r="C965" s="555"/>
      <c r="D965" s="1862"/>
      <c r="E965" s="1862"/>
      <c r="F965" s="1862"/>
      <c r="G965" s="677"/>
    </row>
    <row r="966" spans="1:9" ht="12.75" customHeight="1">
      <c r="A966" s="1741"/>
      <c r="B966" s="1741"/>
      <c r="C966" s="555"/>
      <c r="D966" s="6"/>
      <c r="E966" s="6"/>
      <c r="F966" s="6"/>
      <c r="G966" s="677"/>
    </row>
    <row r="967" spans="1:9" ht="12.75" customHeight="1">
      <c r="A967" s="1897" t="s">
        <v>2304</v>
      </c>
      <c r="B967" s="1897"/>
      <c r="C967" s="1897"/>
      <c r="D967" s="1897"/>
      <c r="E967" s="1897"/>
      <c r="F967" s="1897"/>
      <c r="G967" s="1897"/>
      <c r="H967" s="1852"/>
      <c r="I967" s="1853"/>
    </row>
    <row r="968" spans="1:9" ht="12.75" customHeight="1">
      <c r="A968" s="1708"/>
      <c r="B968" s="1708"/>
      <c r="C968" s="555"/>
      <c r="D968" s="6"/>
      <c r="E968" s="6"/>
      <c r="F968" s="6"/>
      <c r="G968" s="677"/>
    </row>
    <row r="969" spans="1:9" ht="12.75" customHeight="1">
      <c r="A969" s="1741"/>
      <c r="B969" s="1741"/>
      <c r="C969" s="1739"/>
      <c r="D969" s="1886" t="s">
        <v>2328</v>
      </c>
      <c r="E969" s="1886"/>
      <c r="F969" s="1886"/>
      <c r="G969" s="677"/>
    </row>
    <row r="970" spans="1:9" ht="12.75" customHeight="1">
      <c r="A970" s="1713"/>
      <c r="B970" s="1713"/>
      <c r="C970" s="1745"/>
      <c r="D970" s="1887" t="s">
        <v>2305</v>
      </c>
      <c r="E970" s="1887"/>
      <c r="F970" s="1887"/>
      <c r="G970" s="677"/>
    </row>
    <row r="971" spans="1:9" ht="12.75" customHeight="1">
      <c r="A971" s="1713"/>
      <c r="B971" s="1713"/>
      <c r="C971" s="1745"/>
      <c r="D971" s="6"/>
      <c r="E971" s="6"/>
      <c r="F971" s="1737"/>
      <c r="G971" s="676"/>
    </row>
    <row r="972" spans="1:9" ht="12.75" customHeight="1">
      <c r="A972" s="1741"/>
      <c r="B972" s="797" t="s">
        <v>2589</v>
      </c>
      <c r="C972" s="555"/>
      <c r="D972" s="1866" t="s">
        <v>2306</v>
      </c>
      <c r="E972" s="1866"/>
      <c r="F972" s="1866"/>
      <c r="G972" s="676"/>
      <c r="I972" s="1773" t="s">
        <v>2484</v>
      </c>
    </row>
    <row r="973" spans="1:9" ht="12.75" customHeight="1">
      <c r="A973" s="1741"/>
      <c r="B973" s="1741"/>
      <c r="C973" s="555"/>
      <c r="D973" s="1866"/>
      <c r="E973" s="1866"/>
      <c r="F973" s="1866"/>
      <c r="G973" s="676"/>
    </row>
    <row r="974" spans="1:9" ht="12.75" customHeight="1">
      <c r="A974" s="1741"/>
      <c r="B974" s="1741"/>
      <c r="C974" s="555"/>
      <c r="D974" s="1866"/>
      <c r="E974" s="1866"/>
      <c r="F974" s="1866"/>
      <c r="G974" s="676"/>
    </row>
    <row r="975" spans="1:9" ht="12.75" customHeight="1">
      <c r="A975" s="1741"/>
      <c r="B975" s="1741"/>
      <c r="C975" s="555"/>
      <c r="D975" s="1866"/>
      <c r="E975" s="1866"/>
      <c r="F975" s="1866"/>
      <c r="G975" s="676"/>
    </row>
    <row r="976" spans="1:9" ht="12.75" customHeight="1">
      <c r="A976" s="1725"/>
      <c r="B976" s="1725"/>
      <c r="C976" s="556"/>
      <c r="D976" s="1866"/>
      <c r="E976" s="1866"/>
      <c r="F976" s="1866"/>
      <c r="G976" s="676"/>
    </row>
    <row r="977" spans="1:7" ht="12.75" customHeight="1">
      <c r="A977" s="1725"/>
      <c r="B977" s="1725"/>
      <c r="C977" s="556"/>
      <c r="D977" s="1866"/>
      <c r="E977" s="1866"/>
      <c r="F977" s="1866"/>
      <c r="G977" s="676"/>
    </row>
    <row r="978" spans="1:7" ht="12.75" customHeight="1">
      <c r="A978" s="719"/>
      <c r="B978" s="719"/>
      <c r="C978" s="312"/>
      <c r="D978" s="1866"/>
      <c r="E978" s="1866"/>
      <c r="F978" s="1866"/>
      <c r="G978" s="676"/>
    </row>
    <row r="979" spans="1:7" ht="12.75" customHeight="1">
      <c r="A979" s="719"/>
      <c r="B979" s="719"/>
      <c r="C979" s="312"/>
      <c r="D979" s="1866"/>
      <c r="E979" s="1866"/>
      <c r="F979" s="1866"/>
      <c r="G979" s="676"/>
    </row>
    <row r="980" spans="1:7" ht="12.75" customHeight="1">
      <c r="A980" s="719"/>
      <c r="B980" s="719"/>
      <c r="C980" s="312"/>
      <c r="D980" s="1705"/>
      <c r="E980" s="1705"/>
      <c r="F980" s="1705"/>
      <c r="G980" s="676"/>
    </row>
    <row r="981" spans="1:7" ht="12.75" customHeight="1">
      <c r="A981" s="719"/>
      <c r="B981" s="797" t="s">
        <v>2590</v>
      </c>
      <c r="C981" s="312"/>
      <c r="D981" s="1864" t="s">
        <v>2307</v>
      </c>
      <c r="E981" s="1864"/>
      <c r="F981" s="1864"/>
      <c r="G981" s="676"/>
    </row>
    <row r="982" spans="1:7" ht="12.75" customHeight="1">
      <c r="A982" s="719"/>
      <c r="B982" s="719"/>
      <c r="C982" s="312"/>
      <c r="D982" s="1864"/>
      <c r="E982" s="1864"/>
      <c r="F982" s="1864"/>
      <c r="G982" s="676"/>
    </row>
    <row r="983" spans="1:7" ht="12.75" customHeight="1">
      <c r="A983" s="719"/>
      <c r="B983" s="719"/>
      <c r="C983" s="312"/>
      <c r="D983" s="1864"/>
      <c r="E983" s="1864"/>
      <c r="F983" s="1864"/>
      <c r="G983" s="676"/>
    </row>
    <row r="984" spans="1:7" ht="12.75" customHeight="1">
      <c r="A984" s="719"/>
      <c r="B984" s="719"/>
      <c r="C984" s="312"/>
      <c r="D984" s="1864"/>
      <c r="E984" s="1864"/>
      <c r="F984" s="1864"/>
      <c r="G984" s="676"/>
    </row>
    <row r="985" spans="1:7" ht="12.75" customHeight="1">
      <c r="A985" s="719"/>
      <c r="B985" s="719"/>
      <c r="C985" s="312"/>
      <c r="D985" s="1703"/>
      <c r="E985" s="1703"/>
      <c r="F985" s="1703"/>
      <c r="G985" s="676"/>
    </row>
    <row r="986" spans="1:7" ht="12.75" customHeight="1">
      <c r="A986" s="719"/>
      <c r="B986" s="797" t="s">
        <v>2590</v>
      </c>
      <c r="C986" s="312"/>
      <c r="D986" s="1864" t="s">
        <v>2308</v>
      </c>
      <c r="E986" s="1864"/>
      <c r="F986" s="1864"/>
      <c r="G986" s="676"/>
    </row>
    <row r="987" spans="1:7" ht="12.75" customHeight="1">
      <c r="A987" s="719"/>
      <c r="B987" s="719"/>
      <c r="C987" s="312"/>
      <c r="D987" s="1864"/>
      <c r="E987" s="1864"/>
      <c r="F987" s="1864"/>
      <c r="G987" s="676"/>
    </row>
    <row r="988" spans="1:7" ht="12.75" customHeight="1">
      <c r="A988" s="719"/>
      <c r="B988" s="719"/>
      <c r="C988" s="312"/>
      <c r="D988" s="1703"/>
      <c r="E988" s="1703"/>
      <c r="F988" s="1703"/>
      <c r="G988" s="676"/>
    </row>
    <row r="989" spans="1:7" ht="12.75" customHeight="1">
      <c r="A989" s="713"/>
      <c r="B989" s="797" t="s">
        <v>2589</v>
      </c>
      <c r="C989" s="555"/>
      <c r="D989" s="1887" t="s">
        <v>2309</v>
      </c>
      <c r="E989" s="1887"/>
      <c r="F989" s="1887"/>
      <c r="G989" s="676"/>
    </row>
    <row r="990" spans="1:7" ht="12.75" customHeight="1">
      <c r="A990" s="1741"/>
      <c r="B990" s="1741"/>
      <c r="C990" s="555"/>
      <c r="D990" s="6"/>
      <c r="E990" s="6"/>
      <c r="F990" s="6"/>
      <c r="G990" s="676"/>
    </row>
    <row r="991" spans="1:7" ht="12.75" customHeight="1">
      <c r="A991" s="713"/>
      <c r="B991" s="797" t="s">
        <v>2590</v>
      </c>
      <c r="C991" s="555"/>
      <c r="D991" s="1887" t="s">
        <v>2310</v>
      </c>
      <c r="E991" s="1887"/>
      <c r="F991" s="1887"/>
      <c r="G991" s="676"/>
    </row>
    <row r="992" spans="1:7" ht="12.75" customHeight="1">
      <c r="A992" s="1741"/>
      <c r="B992" s="1741"/>
      <c r="C992" s="555"/>
      <c r="D992" s="1707"/>
      <c r="E992" s="6"/>
      <c r="F992" s="6"/>
      <c r="G992" s="676"/>
    </row>
    <row r="993" spans="1:9" ht="12.75" customHeight="1">
      <c r="A993" s="713"/>
      <c r="B993" s="797" t="s">
        <v>2590</v>
      </c>
      <c r="C993" s="555"/>
      <c r="D993" s="1887" t="s">
        <v>2311</v>
      </c>
      <c r="E993" s="1887"/>
      <c r="F993" s="1887"/>
      <c r="G993" s="676"/>
    </row>
    <row r="994" spans="1:9" ht="12.75" customHeight="1">
      <c r="A994" s="1741"/>
      <c r="B994" s="1741"/>
      <c r="C994" s="555"/>
      <c r="D994" s="1707"/>
      <c r="E994" s="6"/>
      <c r="F994" s="6"/>
      <c r="G994" s="676"/>
    </row>
    <row r="995" spans="1:9" ht="12.75" customHeight="1">
      <c r="A995" s="713"/>
      <c r="B995" s="797" t="s">
        <v>2590</v>
      </c>
      <c r="C995" s="555"/>
      <c r="D995" s="1862" t="s">
        <v>2312</v>
      </c>
      <c r="E995" s="1862"/>
      <c r="F995" s="1862"/>
      <c r="G995" s="676"/>
    </row>
    <row r="996" spans="1:9" ht="12.75" customHeight="1">
      <c r="A996" s="713"/>
      <c r="B996" s="713"/>
      <c r="C996" s="555"/>
      <c r="D996" s="1862"/>
      <c r="E996" s="1862"/>
      <c r="F996" s="1862"/>
      <c r="G996" s="676"/>
    </row>
    <row r="997" spans="1:9" ht="12.75" customHeight="1">
      <c r="A997" s="713"/>
      <c r="B997" s="713"/>
      <c r="C997" s="555"/>
      <c r="D997" s="1707"/>
      <c r="E997" s="6"/>
      <c r="F997" s="6"/>
      <c r="G997" s="677"/>
    </row>
    <row r="998" spans="1:9" ht="12.75" customHeight="1">
      <c r="A998" s="406"/>
      <c r="B998" s="797" t="s">
        <v>2590</v>
      </c>
      <c r="C998" s="1758"/>
      <c r="D998" s="1905" t="s">
        <v>2313</v>
      </c>
      <c r="E998" s="1905"/>
      <c r="F998" s="1905"/>
      <c r="G998" s="1759"/>
    </row>
    <row r="999" spans="1:9" ht="12.75" customHeight="1">
      <c r="A999" s="1758"/>
      <c r="B999" s="1758"/>
      <c r="C999" s="1758"/>
      <c r="D999" s="1905"/>
      <c r="E999" s="1905"/>
      <c r="F999" s="1905"/>
      <c r="G999" s="1759"/>
    </row>
    <row r="1000" spans="1:9" ht="12.75" customHeight="1">
      <c r="A1000" s="1758"/>
      <c r="B1000" s="1758"/>
      <c r="C1000" s="1758"/>
      <c r="D1000" s="1760"/>
      <c r="E1000" s="1761"/>
      <c r="F1000" s="1761"/>
      <c r="G1000" s="1759"/>
    </row>
    <row r="1001" spans="1:9" ht="12.75" customHeight="1">
      <c r="A1001" s="406"/>
      <c r="B1001" s="797" t="s">
        <v>2589</v>
      </c>
      <c r="C1001" s="1758"/>
      <c r="D1001" s="2006" t="s">
        <v>2314</v>
      </c>
      <c r="E1001" s="2006"/>
      <c r="F1001" s="2006"/>
      <c r="G1001" s="1759"/>
    </row>
    <row r="1002" spans="1:9" ht="12.75" customHeight="1">
      <c r="A1002" s="1758"/>
      <c r="B1002" s="1758"/>
      <c r="C1002" s="1758"/>
      <c r="D1002" s="1760"/>
      <c r="E1002" s="1761"/>
      <c r="F1002" s="1761"/>
      <c r="G1002" s="1759"/>
    </row>
    <row r="1003" spans="1:9" ht="12.75" customHeight="1">
      <c r="A1003" s="713"/>
      <c r="B1003" s="797" t="s">
        <v>2590</v>
      </c>
      <c r="C1003" s="555"/>
      <c r="D1003" s="1887" t="s">
        <v>2315</v>
      </c>
      <c r="E1003" s="1887"/>
      <c r="F1003" s="1887"/>
      <c r="G1003" s="677"/>
    </row>
    <row r="1004" spans="1:9" ht="12.75" customHeight="1">
      <c r="A1004" s="713"/>
      <c r="B1004" s="713"/>
      <c r="C1004" s="555"/>
      <c r="D1004" s="1707"/>
      <c r="E1004" s="6"/>
      <c r="F1004" s="6"/>
      <c r="G1004" s="677"/>
    </row>
    <row r="1005" spans="1:9" ht="12.75" customHeight="1">
      <c r="A1005" s="713"/>
      <c r="B1005" s="797" t="s">
        <v>2590</v>
      </c>
      <c r="C1005" s="555"/>
      <c r="D1005" s="1862" t="s">
        <v>2316</v>
      </c>
      <c r="E1005" s="1862"/>
      <c r="F1005" s="1862"/>
      <c r="G1005" s="677"/>
    </row>
    <row r="1006" spans="1:9" ht="12.75" customHeight="1">
      <c r="A1006" s="713"/>
      <c r="B1006" s="713"/>
      <c r="C1006" s="555"/>
      <c r="D1006" s="1862"/>
      <c r="E1006" s="1862"/>
      <c r="F1006" s="1862"/>
      <c r="G1006" s="677"/>
    </row>
    <row r="1007" spans="1:9" ht="12.75" customHeight="1">
      <c r="A1007" s="1741"/>
      <c r="B1007" s="1741"/>
      <c r="C1007" s="555"/>
      <c r="D1007" s="6"/>
      <c r="E1007" s="6"/>
      <c r="F1007" s="6"/>
      <c r="G1007" s="677"/>
    </row>
    <row r="1008" spans="1:9" ht="12.75" customHeight="1">
      <c r="A1008" s="1897" t="s">
        <v>2317</v>
      </c>
      <c r="B1008" s="1897"/>
      <c r="C1008" s="1897"/>
      <c r="D1008" s="1897"/>
      <c r="E1008" s="1897"/>
      <c r="F1008" s="1897"/>
      <c r="G1008" s="1897"/>
      <c r="H1008" s="1852"/>
      <c r="I1008" s="1853"/>
    </row>
    <row r="1009" spans="1:9" ht="12.75" customHeight="1">
      <c r="A1009" s="1741"/>
      <c r="B1009" s="1741"/>
      <c r="C1009" s="555"/>
      <c r="D1009" s="6"/>
      <c r="E1009" s="6"/>
      <c r="F1009" s="6"/>
      <c r="G1009" s="677"/>
    </row>
    <row r="1010" spans="1:9" ht="12.75" customHeight="1">
      <c r="A1010" s="1725"/>
      <c r="B1010" s="1725"/>
      <c r="C1010" s="556"/>
      <c r="D1010" s="1906" t="s">
        <v>2318</v>
      </c>
      <c r="E1010" s="1906"/>
      <c r="F1010" s="1906"/>
      <c r="G1010" s="677"/>
    </row>
    <row r="1011" spans="1:9" ht="12.75" customHeight="1">
      <c r="A1011" s="1725"/>
      <c r="B1011" s="1725"/>
      <c r="C1011" s="556"/>
      <c r="D1011" s="2005" t="s">
        <v>2319</v>
      </c>
      <c r="E1011" s="2005"/>
      <c r="F1011" s="2005"/>
      <c r="G1011" s="677"/>
    </row>
    <row r="1012" spans="1:9" ht="12.75" customHeight="1">
      <c r="A1012" s="673"/>
      <c r="B1012" s="673"/>
      <c r="C1012" s="1714"/>
      <c r="D1012" s="677"/>
      <c r="E1012" s="677"/>
      <c r="F1012" s="677"/>
      <c r="G1012" s="677"/>
    </row>
    <row r="1013" spans="1:9" ht="12.75" customHeight="1">
      <c r="A1013" s="713"/>
      <c r="B1013" s="713"/>
      <c r="C1013" s="312"/>
      <c r="D1013" s="1906" t="s">
        <v>2333</v>
      </c>
      <c r="E1013" s="1906"/>
      <c r="F1013" s="1906"/>
      <c r="G1013" s="677"/>
      <c r="I1013" s="1773" t="s">
        <v>2456</v>
      </c>
    </row>
    <row r="1014" spans="1:9" ht="12.75" customHeight="1">
      <c r="A1014" s="1741"/>
      <c r="B1014" s="797" t="s">
        <v>2589</v>
      </c>
      <c r="C1014" s="555"/>
      <c r="D1014" s="2005" t="s">
        <v>1502</v>
      </c>
      <c r="E1014" s="2005"/>
      <c r="F1014" s="2005"/>
      <c r="G1014" s="677"/>
    </row>
    <row r="1015" spans="1:9" s="1771" customFormat="1" ht="12.75" customHeight="1">
      <c r="A1015" s="1741"/>
      <c r="B1015" s="713"/>
      <c r="C1015" s="555"/>
      <c r="D1015" s="2001" t="s">
        <v>2320</v>
      </c>
      <c r="E1015" s="2001"/>
      <c r="F1015" s="2001"/>
      <c r="G1015" s="677"/>
      <c r="I1015" s="1773"/>
    </row>
    <row r="1016" spans="1:9" ht="12.75" customHeight="1">
      <c r="A1016" s="1741"/>
      <c r="B1016" s="1741"/>
      <c r="C1016" s="555"/>
      <c r="D1016" s="2005"/>
      <c r="E1016" s="2005"/>
      <c r="F1016" s="2005"/>
      <c r="G1016" s="677"/>
    </row>
    <row r="1017" spans="1:9" ht="12.75" customHeight="1">
      <c r="A1017" s="2002" t="s">
        <v>2329</v>
      </c>
      <c r="B1017" s="2002"/>
      <c r="C1017" s="2002"/>
      <c r="D1017" s="2002"/>
      <c r="E1017" s="2002"/>
      <c r="F1017" s="2002"/>
      <c r="G1017" s="2002"/>
      <c r="H1017" s="1852"/>
      <c r="I1017" s="1853"/>
    </row>
    <row r="1018" spans="1:9" ht="12.75" customHeight="1">
      <c r="A1018" s="253"/>
      <c r="B1018" s="253"/>
      <c r="C1018" s="1733"/>
      <c r="D1018" s="685"/>
      <c r="E1018" s="685"/>
      <c r="F1018" s="685"/>
      <c r="G1018" s="685"/>
    </row>
    <row r="1019" spans="1:9" ht="12.75" customHeight="1">
      <c r="A1019" s="253"/>
      <c r="B1019" s="1768"/>
      <c r="C1019" s="1775"/>
      <c r="D1019" s="1900" t="s">
        <v>1503</v>
      </c>
      <c r="E1019" s="1900"/>
      <c r="F1019" s="1900"/>
      <c r="G1019" s="685"/>
    </row>
    <row r="1020" spans="1:9" ht="12.75" customHeight="1">
      <c r="A1020" s="253"/>
      <c r="B1020" s="1774" t="s">
        <v>2590</v>
      </c>
      <c r="C1020" s="1775"/>
      <c r="D1020" s="1879" t="s">
        <v>1502</v>
      </c>
      <c r="E1020" s="1879"/>
      <c r="F1020" s="1879"/>
      <c r="G1020" s="685"/>
    </row>
    <row r="1021" spans="1:9" ht="12.75" customHeight="1">
      <c r="A1021" s="253"/>
      <c r="B1021" s="1771"/>
      <c r="C1021" s="1775"/>
      <c r="D1021" s="1879" t="s">
        <v>2330</v>
      </c>
      <c r="E1021" s="1879"/>
      <c r="F1021" s="1879"/>
      <c r="G1021" s="685"/>
    </row>
    <row r="1022" spans="1:9" s="1771" customFormat="1" ht="12.75" customHeight="1">
      <c r="A1022" s="253"/>
      <c r="C1022" s="1775"/>
      <c r="D1022" s="1769"/>
      <c r="E1022" s="1769"/>
      <c r="F1022" s="1769"/>
      <c r="G1022" s="685"/>
      <c r="I1022" s="1773"/>
    </row>
    <row r="1023" spans="1:9" ht="12.75" customHeight="1">
      <c r="A1023" s="253"/>
      <c r="B1023" s="253"/>
      <c r="C1023" s="1733"/>
      <c r="D1023" s="2003" t="s">
        <v>1183</v>
      </c>
      <c r="E1023" s="2003"/>
      <c r="F1023" s="2003"/>
      <c r="G1023" s="685"/>
      <c r="I1023" s="1773" t="s">
        <v>2485</v>
      </c>
    </row>
    <row r="1024" spans="1:9" ht="12.75" customHeight="1">
      <c r="A1024" s="502"/>
      <c r="B1024" s="502"/>
      <c r="C1024" s="501"/>
      <c r="D1024" s="2004" t="s">
        <v>1200</v>
      </c>
      <c r="E1024" s="2004"/>
      <c r="F1024" s="2004"/>
      <c r="G1024" s="1762"/>
    </row>
    <row r="1025" spans="1:9" ht="12.75" customHeight="1">
      <c r="A1025" s="713"/>
      <c r="B1025" s="1774" t="s">
        <v>2590</v>
      </c>
      <c r="C1025" s="556"/>
      <c r="D1025" s="1891" t="s">
        <v>1068</v>
      </c>
      <c r="E1025" s="1891"/>
      <c r="F1025" s="1891"/>
      <c r="G1025" s="677"/>
    </row>
    <row r="1026" spans="1:9" ht="12.75" customHeight="1">
      <c r="A1026" s="1725"/>
      <c r="B1026" s="1725"/>
      <c r="C1026" s="556"/>
      <c r="D1026" s="6"/>
      <c r="E1026" s="1978" t="s">
        <v>1184</v>
      </c>
      <c r="F1026" s="1978"/>
      <c r="G1026" s="677"/>
    </row>
    <row r="1027" spans="1:9">
      <c r="A1027" s="789"/>
      <c r="B1027" s="789"/>
      <c r="C1027" s="789"/>
      <c r="D1027" s="789"/>
      <c r="E1027" s="789"/>
      <c r="F1027" s="789"/>
      <c r="G1027" s="789"/>
    </row>
    <row r="1028" spans="1:9">
      <c r="A1028" s="2002" t="s">
        <v>2350</v>
      </c>
      <c r="B1028" s="2002"/>
      <c r="C1028" s="2002"/>
      <c r="D1028" s="2002"/>
      <c r="E1028" s="2002"/>
      <c r="F1028" s="2002"/>
      <c r="G1028" s="2002"/>
      <c r="H1028" s="1852"/>
      <c r="I1028" s="1853"/>
    </row>
    <row r="1029" spans="1:9">
      <c r="A1029" s="789"/>
      <c r="B1029" s="789"/>
      <c r="C1029" s="789"/>
      <c r="D1029" s="789"/>
      <c r="E1029" s="789"/>
      <c r="F1029" s="789"/>
      <c r="G1029" s="789"/>
    </row>
    <row r="1030" spans="1:9">
      <c r="A1030" s="789"/>
      <c r="B1030" s="789"/>
      <c r="C1030" s="789"/>
      <c r="D1030" s="1773" t="s">
        <v>2336</v>
      </c>
      <c r="E1030" s="789"/>
      <c r="F1030" s="789"/>
      <c r="G1030" s="789"/>
    </row>
    <row r="1031" spans="1:9" s="1771" customFormat="1">
      <c r="D1031" s="1770" t="s">
        <v>2335</v>
      </c>
      <c r="I1031" s="1773"/>
    </row>
    <row r="1032" spans="1:9" s="1771" customFormat="1">
      <c r="D1032" s="1773"/>
      <c r="I1032" s="1773"/>
    </row>
    <row r="1033" spans="1:9">
      <c r="A1033" s="789"/>
      <c r="B1033" s="1774" t="s">
        <v>2590</v>
      </c>
      <c r="C1033" s="789"/>
      <c r="D1033" s="2009" t="s">
        <v>2334</v>
      </c>
      <c r="E1033" s="2009"/>
      <c r="F1033" s="2009"/>
      <c r="G1033" s="789"/>
      <c r="I1033" s="1773" t="s">
        <v>2457</v>
      </c>
    </row>
    <row r="1034" spans="1:9">
      <c r="A1034" s="789"/>
      <c r="B1034" s="789"/>
      <c r="C1034" s="789"/>
      <c r="D1034" s="2009"/>
      <c r="E1034" s="2009"/>
      <c r="F1034" s="2009"/>
      <c r="G1034" s="789"/>
    </row>
    <row r="1035" spans="1:9">
      <c r="A1035" s="789"/>
      <c r="B1035" s="789"/>
      <c r="C1035" s="789"/>
      <c r="D1035" s="2009"/>
      <c r="E1035" s="2009"/>
      <c r="F1035" s="2009"/>
      <c r="G1035" s="789"/>
    </row>
    <row r="1036" spans="1:9">
      <c r="A1036" s="789"/>
      <c r="B1036" s="789"/>
      <c r="C1036" s="789"/>
      <c r="D1036" s="2009"/>
      <c r="E1036" s="2009"/>
      <c r="F1036" s="2009"/>
      <c r="G1036" s="789"/>
    </row>
    <row r="1037" spans="1:9">
      <c r="A1037" s="789"/>
      <c r="B1037" s="789"/>
      <c r="C1037" s="789"/>
      <c r="D1037" s="789"/>
      <c r="E1037" s="789"/>
      <c r="F1037" s="789"/>
      <c r="G1037" s="789"/>
    </row>
    <row r="1038" spans="1:9">
      <c r="A1038" s="789"/>
      <c r="B1038" s="1771"/>
      <c r="C1038" s="789"/>
      <c r="D1038" s="1773" t="s">
        <v>1581</v>
      </c>
      <c r="E1038" s="789"/>
      <c r="F1038" s="789"/>
      <c r="G1038" s="789"/>
    </row>
    <row r="1039" spans="1:9">
      <c r="A1039" s="789"/>
      <c r="B1039" s="789"/>
      <c r="C1039" s="789"/>
      <c r="D1039" s="1771" t="s">
        <v>2337</v>
      </c>
      <c r="E1039" s="789"/>
      <c r="F1039" s="789"/>
      <c r="G1039" s="789"/>
    </row>
    <row r="1040" spans="1:9">
      <c r="A1040" s="789"/>
      <c r="B1040" s="789"/>
      <c r="C1040" s="789"/>
      <c r="D1040" s="789"/>
      <c r="E1040" s="789"/>
      <c r="F1040" s="789"/>
      <c r="G1040" s="789"/>
    </row>
    <row r="1041" spans="1:9">
      <c r="A1041" s="789"/>
      <c r="B1041" s="1774" t="s">
        <v>2590</v>
      </c>
      <c r="C1041" s="789"/>
      <c r="D1041" s="1771" t="s">
        <v>2332</v>
      </c>
      <c r="E1041" s="789"/>
      <c r="F1041" s="789"/>
      <c r="G1041" s="789"/>
      <c r="I1041" s="1773" t="s">
        <v>2458</v>
      </c>
    </row>
    <row r="1042" spans="1:9">
      <c r="A1042" s="789"/>
      <c r="B1042" s="789"/>
      <c r="C1042" s="789"/>
      <c r="D1042" s="789"/>
      <c r="E1042" s="789"/>
      <c r="F1042" s="789"/>
      <c r="G1042" s="789"/>
    </row>
    <row r="1043" spans="1:9">
      <c r="A1043" s="789"/>
      <c r="B1043" s="1774" t="s">
        <v>2590</v>
      </c>
      <c r="C1043" s="789"/>
      <c r="D1043" s="2009" t="s">
        <v>2338</v>
      </c>
      <c r="E1043" s="2009"/>
      <c r="F1043" s="2009"/>
      <c r="G1043" s="789"/>
      <c r="I1043" s="1773" t="s">
        <v>2459</v>
      </c>
    </row>
    <row r="1044" spans="1:9">
      <c r="A1044" s="789"/>
      <c r="B1044" s="789"/>
      <c r="C1044" s="789"/>
      <c r="D1044" s="2009"/>
      <c r="E1044" s="2009"/>
      <c r="F1044" s="2009"/>
      <c r="G1044" s="789"/>
    </row>
    <row r="1045" spans="1:9">
      <c r="A1045" s="789"/>
      <c r="B1045" s="789"/>
      <c r="C1045" s="789"/>
      <c r="D1045" s="2009"/>
      <c r="E1045" s="2009"/>
      <c r="F1045" s="2009"/>
      <c r="G1045" s="789"/>
    </row>
    <row r="1046" spans="1:9">
      <c r="A1046" s="789"/>
      <c r="B1046" s="789"/>
      <c r="C1046" s="789"/>
      <c r="D1046" s="2009"/>
      <c r="E1046" s="2009"/>
      <c r="F1046" s="2009"/>
      <c r="G1046" s="789"/>
    </row>
    <row r="1047" spans="1:9">
      <c r="A1047" s="789"/>
      <c r="B1047" s="789"/>
      <c r="C1047" s="789"/>
      <c r="D1047" s="2009"/>
      <c r="E1047" s="2009"/>
      <c r="F1047" s="2009"/>
      <c r="G1047" s="789"/>
    </row>
    <row r="1048" spans="1:9">
      <c r="A1048" s="789"/>
      <c r="B1048" s="789"/>
      <c r="C1048" s="789"/>
      <c r="D1048" s="789"/>
      <c r="E1048" s="789"/>
      <c r="F1048" s="789"/>
      <c r="G1048" s="789"/>
    </row>
    <row r="1049" spans="1:9">
      <c r="A1049" s="2002" t="s">
        <v>2339</v>
      </c>
      <c r="B1049" s="2002"/>
      <c r="C1049" s="2002"/>
      <c r="D1049" s="2002"/>
      <c r="E1049" s="2002"/>
      <c r="F1049" s="2002"/>
      <c r="G1049" s="2002"/>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2589</v>
      </c>
      <c r="C1052" s="789"/>
      <c r="D1052" s="1766" t="s">
        <v>2342</v>
      </c>
      <c r="E1052" s="1770"/>
      <c r="F1052" s="789"/>
      <c r="G1052" s="789"/>
      <c r="I1052" s="1773" t="s">
        <v>2460</v>
      </c>
    </row>
    <row r="1053" spans="1:9">
      <c r="A1053" s="789"/>
      <c r="B1053" s="789"/>
      <c r="C1053" s="789"/>
      <c r="D1053" s="1766" t="s">
        <v>2344</v>
      </c>
      <c r="E1053" s="1770"/>
      <c r="F1053" s="789"/>
      <c r="G1053" s="789"/>
    </row>
    <row r="1054" spans="1:9" s="1771" customFormat="1">
      <c r="D1054" s="1766"/>
      <c r="E1054" s="1770"/>
      <c r="I1054" s="1773"/>
    </row>
    <row r="1055" spans="1:9">
      <c r="A1055" s="789"/>
      <c r="B1055" s="1774" t="s">
        <v>2590</v>
      </c>
      <c r="C1055" s="789"/>
      <c r="D1055" s="1766" t="s">
        <v>2345</v>
      </c>
      <c r="E1055" s="1770"/>
      <c r="F1055" s="789"/>
      <c r="G1055" s="789"/>
      <c r="I1055" s="1773" t="s">
        <v>2461</v>
      </c>
    </row>
    <row r="1056" spans="1:9" s="1771" customFormat="1">
      <c r="D1056" s="1766" t="s">
        <v>2343</v>
      </c>
      <c r="E1056" s="1770"/>
      <c r="I1056" s="1773"/>
    </row>
    <row r="1057" spans="1:9" s="1771" customFormat="1">
      <c r="D1057" s="1766"/>
      <c r="E1057" s="1770"/>
      <c r="I1057" s="1773"/>
    </row>
    <row r="1058" spans="1:9">
      <c r="A1058" s="789"/>
      <c r="B1058" s="1774" t="s">
        <v>2590</v>
      </c>
      <c r="C1058" s="789"/>
      <c r="D1058" s="1765" t="s">
        <v>2348</v>
      </c>
      <c r="E1058" s="1770"/>
      <c r="F1058" s="789"/>
      <c r="G1058" s="789"/>
      <c r="I1058" s="1773" t="s">
        <v>2462</v>
      </c>
    </row>
    <row r="1059" spans="1:9" s="1771" customFormat="1">
      <c r="D1059" s="2010" t="s">
        <v>2349</v>
      </c>
      <c r="E1059" s="2010"/>
      <c r="F1059" s="2010"/>
      <c r="I1059" s="1773"/>
    </row>
    <row r="1060" spans="1:9" s="1771" customFormat="1">
      <c r="D1060" s="2010"/>
      <c r="E1060" s="2010"/>
      <c r="F1060" s="2010"/>
      <c r="I1060" s="1773"/>
    </row>
    <row r="1061" spans="1:9" s="1771" customFormat="1">
      <c r="D1061" s="2010"/>
      <c r="E1061" s="2010"/>
      <c r="F1061" s="2010"/>
      <c r="I1061" s="1773"/>
    </row>
    <row r="1062" spans="1:9" s="1771" customFormat="1">
      <c r="D1062" s="2010"/>
      <c r="E1062" s="2010"/>
      <c r="F1062" s="2010"/>
      <c r="I1062" s="1773"/>
    </row>
    <row r="1063" spans="1:9" s="1771" customFormat="1">
      <c r="D1063" s="1765" t="s">
        <v>2347</v>
      </c>
      <c r="E1063" s="1770"/>
      <c r="I1063" s="1773"/>
    </row>
    <row r="1064" spans="1:9" s="1771" customFormat="1">
      <c r="D1064" s="1765"/>
      <c r="E1064" s="1770"/>
      <c r="I1064" s="1773"/>
    </row>
    <row r="1065" spans="1:9">
      <c r="A1065" s="789"/>
      <c r="B1065" s="789"/>
      <c r="C1065" s="789"/>
      <c r="D1065" s="1766" t="s">
        <v>2340</v>
      </c>
      <c r="E1065" s="1770"/>
      <c r="F1065" s="789"/>
      <c r="G1065" s="789"/>
      <c r="I1065" s="1773" t="s">
        <v>2463</v>
      </c>
    </row>
    <row r="1066" spans="1:9">
      <c r="A1066" s="789"/>
      <c r="B1066" s="1774" t="s">
        <v>2590</v>
      </c>
      <c r="C1066" s="789"/>
      <c r="D1066" s="2007" t="s">
        <v>2341</v>
      </c>
      <c r="E1066" s="2007"/>
      <c r="F1066" s="2007"/>
      <c r="G1066" s="789"/>
    </row>
    <row r="1067" spans="1:9" s="1771" customFormat="1">
      <c r="D1067" s="2007"/>
      <c r="E1067" s="2007"/>
      <c r="F1067" s="2007"/>
      <c r="I1067" s="1773"/>
    </row>
    <row r="1068" spans="1:9" s="1771" customFormat="1">
      <c r="D1068" s="2007"/>
      <c r="E1068" s="2007"/>
      <c r="F1068" s="2007"/>
      <c r="I1068" s="1773"/>
    </row>
    <row r="1069" spans="1:9" s="1771" customFormat="1">
      <c r="D1069" s="2007"/>
      <c r="E1069" s="2007"/>
      <c r="F1069" s="2007"/>
      <c r="I1069" s="1773"/>
    </row>
    <row r="1070" spans="1:9">
      <c r="A1070" s="789"/>
      <c r="B1070" s="789"/>
      <c r="C1070" s="789"/>
      <c r="D1070" s="2007"/>
      <c r="E1070" s="2007"/>
      <c r="F1070" s="2007"/>
      <c r="G1070" s="789"/>
    </row>
    <row r="1071" spans="1:9">
      <c r="A1071" s="789"/>
      <c r="B1071" s="789"/>
      <c r="C1071" s="789"/>
      <c r="D1071" s="1766" t="s">
        <v>2346</v>
      </c>
      <c r="E1071" s="789"/>
      <c r="F1071" s="789"/>
      <c r="G1071" s="789"/>
    </row>
    <row r="1072" spans="1:9">
      <c r="A1072" s="789"/>
      <c r="B1072" s="789"/>
      <c r="C1072" s="789"/>
      <c r="D1072" s="789"/>
      <c r="E1072" s="789"/>
      <c r="F1072" s="789"/>
      <c r="G1072" s="789"/>
    </row>
    <row r="1073" spans="1:9">
      <c r="A1073" s="2002" t="s">
        <v>2351</v>
      </c>
      <c r="B1073" s="2002"/>
      <c r="C1073" s="2002"/>
      <c r="D1073" s="2002"/>
      <c r="E1073" s="2002"/>
      <c r="F1073" s="2002"/>
      <c r="G1073" s="2002"/>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2590</v>
      </c>
      <c r="C1076" s="789"/>
      <c r="D1076" s="2007" t="s">
        <v>2352</v>
      </c>
      <c r="E1076" s="2007"/>
      <c r="F1076" s="2007"/>
      <c r="G1076" s="789"/>
      <c r="I1076" s="1773" t="s">
        <v>2464</v>
      </c>
    </row>
    <row r="1077" spans="1:9" s="1771" customFormat="1">
      <c r="D1077" s="2007"/>
      <c r="E1077" s="2007"/>
      <c r="F1077" s="2007"/>
      <c r="I1077" s="1773"/>
    </row>
    <row r="1078" spans="1:9" s="1771" customFormat="1">
      <c r="D1078" s="2007"/>
      <c r="E1078" s="2007"/>
      <c r="F1078" s="2007"/>
      <c r="I1078" s="1773"/>
    </row>
    <row r="1079" spans="1:9" s="1771" customFormat="1">
      <c r="D1079" s="1766"/>
      <c r="I1079" s="1773"/>
    </row>
    <row r="1080" spans="1:9">
      <c r="A1080" s="789"/>
      <c r="B1080" s="1774" t="s">
        <v>2590</v>
      </c>
      <c r="C1080" s="789"/>
      <c r="D1080" s="2007" t="s">
        <v>2353</v>
      </c>
      <c r="E1080" s="2007"/>
      <c r="F1080" s="2007"/>
      <c r="G1080" s="789"/>
      <c r="I1080" s="1773" t="s">
        <v>2465</v>
      </c>
    </row>
    <row r="1081" spans="1:9" s="1771" customFormat="1">
      <c r="D1081" s="2007"/>
      <c r="E1081" s="2007"/>
      <c r="F1081" s="2007"/>
      <c r="I1081" s="1773"/>
    </row>
    <row r="1082" spans="1:9" s="1771" customFormat="1">
      <c r="D1082" s="1766"/>
      <c r="I1082" s="1773"/>
    </row>
    <row r="1083" spans="1:9">
      <c r="A1083" s="789"/>
      <c r="B1083" s="1774" t="s">
        <v>2590</v>
      </c>
      <c r="C1083" s="789"/>
      <c r="D1083" s="2007" t="s">
        <v>2512</v>
      </c>
      <c r="E1083" s="2007"/>
      <c r="F1083" s="2007"/>
      <c r="G1083" s="789"/>
      <c r="I1083" s="1773" t="s">
        <v>2510</v>
      </c>
    </row>
    <row r="1084" spans="1:9" s="1771" customFormat="1">
      <c r="D1084" s="2007"/>
      <c r="E1084" s="2007"/>
      <c r="F1084" s="2007"/>
      <c r="I1084" s="1773"/>
    </row>
    <row r="1085" spans="1:9" s="1771" customFormat="1">
      <c r="D1085" s="2007"/>
      <c r="E1085" s="2007"/>
      <c r="F1085" s="2007"/>
      <c r="I1085" s="1773"/>
    </row>
    <row r="1086" spans="1:9" s="1771" customFormat="1">
      <c r="D1086" s="2007"/>
      <c r="E1086" s="2007"/>
      <c r="F1086" s="2007"/>
      <c r="I1086" s="1773"/>
    </row>
    <row r="1087" spans="1:9" s="1771" customFormat="1">
      <c r="D1087" s="2007"/>
      <c r="E1087" s="2007"/>
      <c r="F1087" s="2007"/>
      <c r="I1087" s="1773"/>
    </row>
    <row r="1088" spans="1:9" s="1771" customFormat="1">
      <c r="D1088" s="2007"/>
      <c r="E1088" s="2007"/>
      <c r="F1088" s="2007"/>
      <c r="I1088" s="1773"/>
    </row>
    <row r="1089" spans="1:9" s="1772" customFormat="1">
      <c r="B1089" s="1771"/>
      <c r="D1089" s="1766" t="s">
        <v>2511</v>
      </c>
    </row>
    <row r="1090" spans="1:9">
      <c r="A1090" s="789"/>
      <c r="B1090" s="1774" t="s">
        <v>2590</v>
      </c>
      <c r="C1090" s="789"/>
      <c r="D1090" s="2007" t="s">
        <v>2354</v>
      </c>
      <c r="E1090" s="2007"/>
      <c r="F1090" s="2007"/>
      <c r="G1090" s="789"/>
      <c r="I1090" s="1836" t="s">
        <v>2466</v>
      </c>
    </row>
    <row r="1091" spans="1:9" s="1771" customFormat="1">
      <c r="D1091" s="2007"/>
      <c r="E1091" s="2007"/>
      <c r="F1091" s="2007"/>
      <c r="I1091" s="1773"/>
    </row>
    <row r="1092" spans="1:9" s="1771" customFormat="1">
      <c r="D1092" s="2007"/>
      <c r="E1092" s="2007"/>
      <c r="F1092" s="2007"/>
      <c r="I1092" s="1773"/>
    </row>
    <row r="1093" spans="1:9" s="1771" customFormat="1">
      <c r="D1093" s="1766"/>
      <c r="I1093" s="1773"/>
    </row>
    <row r="1094" spans="1:9">
      <c r="A1094" s="789"/>
      <c r="B1094" s="1774" t="s">
        <v>2589</v>
      </c>
      <c r="C1094" s="789"/>
      <c r="D1094" s="2008" t="s">
        <v>2513</v>
      </c>
      <c r="E1094" s="2008"/>
      <c r="F1094" s="2008"/>
      <c r="G1094" s="789"/>
      <c r="I1094" s="1773" t="s">
        <v>2467</v>
      </c>
    </row>
    <row r="1095" spans="1:9">
      <c r="A1095" s="789"/>
      <c r="B1095" s="789"/>
      <c r="C1095" s="789"/>
      <c r="D1095" s="2008"/>
      <c r="E1095" s="2008"/>
      <c r="F1095" s="2008"/>
      <c r="G1095" s="789"/>
    </row>
    <row r="1096" spans="1:9">
      <c r="A1096" s="789"/>
      <c r="B1096" s="789"/>
      <c r="C1096" s="789"/>
      <c r="D1096" s="2008"/>
      <c r="E1096" s="2008"/>
      <c r="F1096" s="2008"/>
      <c r="G1096" s="789"/>
    </row>
    <row r="1097" spans="1:9" s="1771" customFormat="1">
      <c r="D1097" s="1848"/>
      <c r="E1097" s="1848"/>
      <c r="F1097" s="1848"/>
      <c r="I1097" s="1773"/>
    </row>
    <row r="1098" spans="1:9" s="1771" customFormat="1" ht="15.75" customHeight="1">
      <c r="B1098" s="1774" t="s">
        <v>2589</v>
      </c>
      <c r="D1098" s="1864" t="s">
        <v>2515</v>
      </c>
      <c r="E1098" s="1864"/>
      <c r="F1098" s="1864"/>
      <c r="I1098" s="1773" t="s">
        <v>2514</v>
      </c>
    </row>
    <row r="1099" spans="1:9" s="1771" customFormat="1">
      <c r="D1099" s="1864"/>
      <c r="E1099" s="1864"/>
      <c r="F1099" s="1864"/>
      <c r="I1099" s="1773"/>
    </row>
    <row r="1100" spans="1:9" s="1771" customFormat="1">
      <c r="D1100" s="1864"/>
      <c r="E1100" s="1864"/>
      <c r="F1100" s="1864"/>
      <c r="I1100" s="1773"/>
    </row>
    <row r="1101" spans="1:9" s="1771" customFormat="1">
      <c r="D1101" s="1864"/>
      <c r="E1101" s="1864"/>
      <c r="F1101" s="1864"/>
      <c r="I1101" s="1773"/>
    </row>
    <row r="1102" spans="1:9" s="1771" customFormat="1">
      <c r="D1102" s="1848"/>
      <c r="E1102" s="1848"/>
      <c r="F1102" s="1848"/>
      <c r="I1102" s="1773"/>
    </row>
    <row r="1103" spans="1:9" ht="38.25">
      <c r="A1103" s="789"/>
      <c r="B1103" s="789"/>
      <c r="C1103" s="789"/>
      <c r="D1103" s="789"/>
      <c r="E1103" s="789"/>
      <c r="F1103" s="789"/>
      <c r="G1103" s="789"/>
      <c r="I1103" s="1843" t="s">
        <v>2516</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78"/>
      <c r="H1516" s="1878"/>
      <c r="I1516" s="187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16" zoomScaleNormal="100" zoomScaleSheetLayoutView="80" workbookViewId="0">
      <selection activeCell="AP925" sqref="AP925"/>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387" t="s">
        <v>105</v>
      </c>
      <c r="B8" s="2387"/>
      <c r="C8" s="2387"/>
      <c r="D8" s="2387"/>
      <c r="E8" s="2387"/>
      <c r="F8" s="2387"/>
      <c r="G8" s="2387"/>
      <c r="H8" s="2387"/>
      <c r="I8" s="2387"/>
      <c r="J8" s="2387"/>
      <c r="K8" s="2387"/>
      <c r="L8" s="2387"/>
      <c r="M8" s="2387"/>
      <c r="N8" s="2387"/>
      <c r="O8" s="2387"/>
      <c r="P8" s="2387"/>
      <c r="Q8" s="2387"/>
      <c r="R8" s="2387"/>
      <c r="S8" s="2387"/>
      <c r="T8" s="2387"/>
      <c r="U8" s="2387"/>
      <c r="V8" s="2387"/>
      <c r="W8" s="2387"/>
      <c r="X8" s="2387"/>
      <c r="Y8" s="2387"/>
      <c r="Z8" s="2387"/>
      <c r="AA8" s="2387"/>
      <c r="AB8" s="2387"/>
      <c r="AC8" s="2387"/>
      <c r="AD8" s="2387"/>
      <c r="AE8" s="2387"/>
      <c r="AF8" s="2387"/>
      <c r="AG8" s="2387"/>
      <c r="AH8" s="2387"/>
      <c r="AI8" s="2387"/>
      <c r="AJ8" s="2387"/>
      <c r="AK8" s="2387"/>
      <c r="AL8" s="2387"/>
      <c r="AM8" s="1570"/>
      <c r="AN8" s="1570"/>
      <c r="AO8" s="1570"/>
      <c r="AP8" s="1570"/>
      <c r="AQ8" s="1570"/>
      <c r="AR8" s="1570"/>
      <c r="AS8" s="1570"/>
      <c r="AT8" s="1570"/>
      <c r="AU8" s="1570"/>
      <c r="AV8" s="1570"/>
      <c r="AW8" s="1570"/>
      <c r="AX8" s="1570"/>
      <c r="AY8" s="1570"/>
    </row>
    <row r="9" spans="1:96" s="718" customFormat="1" ht="12.75">
      <c r="A9" s="2101" t="s">
        <v>1988</v>
      </c>
      <c r="B9" s="2101"/>
      <c r="C9" s="2101"/>
      <c r="D9" s="2101"/>
      <c r="E9" s="2101"/>
      <c r="F9" s="2101"/>
      <c r="G9" s="2101"/>
      <c r="H9" s="2101"/>
      <c r="I9" s="2101"/>
      <c r="J9" s="2101"/>
      <c r="K9" s="2101"/>
      <c r="L9" s="2101"/>
      <c r="M9" s="2101"/>
      <c r="N9" s="2101"/>
      <c r="O9" s="2101"/>
      <c r="P9" s="2101"/>
      <c r="Q9" s="2101"/>
      <c r="R9" s="2101"/>
      <c r="S9" s="2101"/>
      <c r="T9" s="2101"/>
      <c r="U9" s="2101"/>
      <c r="V9" s="2101"/>
      <c r="W9" s="2101"/>
      <c r="X9" s="2101"/>
      <c r="Y9" s="2101"/>
      <c r="Z9" s="2101"/>
      <c r="AA9" s="2101"/>
      <c r="AB9" s="2101"/>
      <c r="AC9" s="2101"/>
      <c r="AD9" s="2101"/>
      <c r="AE9" s="2101"/>
      <c r="AF9" s="2101"/>
      <c r="AG9" s="2101"/>
      <c r="AH9" s="2101"/>
      <c r="AI9" s="2101"/>
      <c r="AJ9" s="2101"/>
      <c r="AK9" s="2101"/>
      <c r="AL9" s="2101"/>
      <c r="AM9" s="1509"/>
      <c r="AN9" s="1509"/>
      <c r="AO9" s="1509"/>
      <c r="AP9" s="1509"/>
      <c r="AQ9" s="1509"/>
      <c r="AR9" s="1509"/>
      <c r="AS9" s="1509"/>
      <c r="AT9" s="1509"/>
      <c r="AU9" s="1509"/>
      <c r="AV9" s="1509"/>
      <c r="AW9" s="1509"/>
      <c r="AX9" s="1509"/>
      <c r="AY9" s="1509"/>
      <c r="CR9" s="25"/>
    </row>
    <row r="10" spans="1:96" ht="15" customHeight="1">
      <c r="A10" s="2223" t="s">
        <v>1989</v>
      </c>
      <c r="B10" s="2223"/>
      <c r="C10" s="2223"/>
      <c r="D10" s="2223"/>
      <c r="E10" s="2223"/>
      <c r="F10" s="2223"/>
      <c r="G10" s="2223"/>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0"/>
      <c r="AN10" s="20"/>
      <c r="AO10" s="20"/>
      <c r="AP10" s="20"/>
      <c r="AQ10" s="20"/>
      <c r="AR10" s="20"/>
      <c r="AS10" s="20"/>
      <c r="AT10" s="20"/>
      <c r="AU10" s="20"/>
      <c r="AV10" s="20"/>
      <c r="AW10" s="20"/>
      <c r="AX10" s="20"/>
      <c r="AY10" s="20"/>
    </row>
    <row r="11" spans="1:96" ht="15" customHeight="1">
      <c r="A11" s="2101" t="s">
        <v>2009</v>
      </c>
      <c r="B11" s="2101"/>
      <c r="C11" s="2101"/>
      <c r="D11" s="2101"/>
      <c r="E11" s="2101"/>
      <c r="F11" s="2101"/>
      <c r="G11" s="2101"/>
      <c r="H11" s="2101"/>
      <c r="I11" s="2101"/>
      <c r="J11" s="2101"/>
      <c r="K11" s="2101"/>
      <c r="L11" s="2101"/>
      <c r="M11" s="2101"/>
      <c r="N11" s="2101"/>
      <c r="O11" s="2101"/>
      <c r="P11" s="2101"/>
      <c r="Q11" s="2101"/>
      <c r="R11" s="2101"/>
      <c r="S11" s="2101"/>
      <c r="T11" s="2101"/>
      <c r="U11" s="2101"/>
      <c r="V11" s="2101"/>
      <c r="W11" s="2101"/>
      <c r="X11" s="2101"/>
      <c r="Y11" s="2101"/>
      <c r="Z11" s="2101"/>
      <c r="AA11" s="2101"/>
      <c r="AB11" s="2101"/>
      <c r="AC11" s="2101"/>
      <c r="AD11" s="2101"/>
      <c r="AE11" s="2101"/>
      <c r="AF11" s="2101"/>
      <c r="AG11" s="2101"/>
      <c r="AH11" s="2101"/>
      <c r="AI11" s="2101"/>
      <c r="AJ11" s="2101"/>
      <c r="AK11" s="2101"/>
      <c r="AL11" s="2101"/>
      <c r="AM11" s="1509"/>
      <c r="AN11" s="1509"/>
      <c r="AO11" s="1509"/>
      <c r="AP11" s="1509"/>
      <c r="AQ11" s="1509"/>
      <c r="AR11" s="1509"/>
      <c r="AS11" s="1509"/>
      <c r="AT11" s="1509"/>
      <c r="AU11" s="1509"/>
      <c r="AV11" s="1509"/>
      <c r="AW11" s="1509"/>
      <c r="AX11" s="1509"/>
      <c r="AY11" s="1509"/>
    </row>
    <row r="12" spans="1:96" ht="12.75">
      <c r="A12" s="2230" t="s">
        <v>2517</v>
      </c>
      <c r="B12" s="2231"/>
      <c r="C12" s="2231"/>
      <c r="D12" s="2231"/>
      <c r="E12" s="2231"/>
      <c r="F12" s="2231"/>
      <c r="G12" s="2231"/>
      <c r="H12" s="2231"/>
      <c r="I12" s="2231"/>
      <c r="J12" s="2231"/>
      <c r="K12" s="2231"/>
      <c r="L12" s="2231"/>
      <c r="M12" s="2231"/>
      <c r="N12" s="2231"/>
      <c r="O12" s="2231"/>
      <c r="P12" s="2231"/>
      <c r="Q12" s="2231"/>
      <c r="R12" s="2231"/>
      <c r="S12" s="2231"/>
      <c r="T12" s="2231"/>
      <c r="U12" s="2231"/>
      <c r="V12" s="2231"/>
      <c r="W12" s="2231"/>
      <c r="X12" s="2231"/>
      <c r="Y12" s="2231"/>
      <c r="Z12" s="2231"/>
      <c r="AA12" s="2231"/>
      <c r="AB12" s="2231"/>
      <c r="AC12" s="2231"/>
      <c r="AD12" s="2231"/>
      <c r="AE12" s="2231"/>
      <c r="AF12" s="2231"/>
      <c r="AG12" s="2231"/>
      <c r="AH12" s="2231"/>
      <c r="AI12" s="2231"/>
      <c r="AJ12" s="2231"/>
      <c r="AK12" s="2231"/>
      <c r="AL12" s="2231"/>
      <c r="AM12" s="1515"/>
      <c r="AN12" s="1515"/>
      <c r="AO12" s="1515"/>
      <c r="AP12" s="1515"/>
      <c r="AQ12" s="1515"/>
      <c r="AR12" s="1515"/>
      <c r="AS12" s="1515"/>
      <c r="AT12" s="1515"/>
      <c r="AU12" s="1515"/>
      <c r="AV12" s="1515"/>
      <c r="AW12" s="1515"/>
      <c r="AX12" s="1515"/>
      <c r="AY12" s="1515"/>
    </row>
    <row r="13" spans="1:96" ht="12.75">
      <c r="A13" s="1874" t="s">
        <v>1384</v>
      </c>
      <c r="B13" s="1874"/>
      <c r="C13" s="1874"/>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1874"/>
      <c r="AM13" s="1571"/>
      <c r="AN13" s="1571"/>
      <c r="AO13" s="1571"/>
      <c r="AP13" s="1571"/>
      <c r="AQ13" s="1571"/>
      <c r="AR13" s="1571"/>
      <c r="AS13" s="1571"/>
      <c r="AT13" s="1571"/>
      <c r="AU13" s="1571"/>
      <c r="AV13" s="1571"/>
      <c r="AW13" s="1571"/>
      <c r="AX13" s="1571"/>
      <c r="AY13" s="1571"/>
    </row>
    <row r="14" spans="1:96" ht="12.75" customHeight="1" thickBot="1">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c r="AH14" s="1875"/>
      <c r="AI14" s="1875"/>
      <c r="AJ14" s="1875"/>
      <c r="AK14" s="1875"/>
      <c r="AL14" s="1875"/>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1372</v>
      </c>
      <c r="C16" s="7"/>
      <c r="D16" s="7"/>
      <c r="E16" s="7"/>
      <c r="F16" s="7"/>
      <c r="G16" s="7"/>
      <c r="H16" s="2210" t="s">
        <v>2518</v>
      </c>
      <c r="I16" s="2210"/>
      <c r="J16" s="2210"/>
      <c r="K16" s="221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c r="AH16" s="2210"/>
      <c r="AI16" s="2210"/>
      <c r="AJ16" s="2210"/>
    </row>
    <row r="17" spans="1:96" ht="12.75" customHeight="1"/>
    <row r="18" spans="1:96" ht="12.75" customHeight="1">
      <c r="A18" s="134" t="s">
        <v>106</v>
      </c>
      <c r="C18" s="7"/>
      <c r="D18" s="7"/>
      <c r="E18" s="7"/>
      <c r="F18" s="7"/>
      <c r="G18" s="7"/>
      <c r="H18" s="2043" t="s">
        <v>2519</v>
      </c>
      <c r="I18" s="2043"/>
      <c r="J18" s="2043"/>
      <c r="K18" s="2043"/>
      <c r="L18" s="2043"/>
      <c r="M18" s="2043"/>
      <c r="N18" s="2043"/>
      <c r="O18" s="2043"/>
      <c r="P18" s="2043"/>
      <c r="Q18" s="2043"/>
      <c r="R18" s="2043"/>
      <c r="S18" s="2043"/>
      <c r="T18" s="2043"/>
      <c r="U18" s="2043"/>
      <c r="V18" s="2043"/>
      <c r="W18" s="2043"/>
      <c r="X18" s="2043"/>
      <c r="Y18" s="2043"/>
      <c r="Z18" s="2043"/>
      <c r="AA18" s="2043"/>
      <c r="AB18" s="2043"/>
      <c r="AC18" s="2043"/>
      <c r="AD18" s="2043"/>
      <c r="AE18" s="2043"/>
      <c r="AF18" s="2043"/>
      <c r="AG18" s="2043"/>
      <c r="AH18" s="2043"/>
      <c r="AI18" s="2043"/>
      <c r="AJ18" s="2043"/>
    </row>
    <row r="19" spans="1:96" ht="12.75" customHeight="1"/>
    <row r="20" spans="1:96" ht="14.25" customHeight="1">
      <c r="A20" s="2225" t="s">
        <v>935</v>
      </c>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1573"/>
      <c r="AN20" s="1573"/>
      <c r="AO20" s="1573"/>
      <c r="AP20" s="1573"/>
      <c r="AQ20" s="1573"/>
      <c r="AR20" s="1573"/>
      <c r="AS20" s="1573"/>
      <c r="AT20" s="1573"/>
      <c r="AU20" s="1573"/>
      <c r="AV20" s="1573"/>
      <c r="AW20" s="1573"/>
      <c r="AX20" s="1573"/>
      <c r="AY20" s="1573"/>
    </row>
    <row r="21" spans="1:96" ht="12.75" customHeight="1">
      <c r="A21" s="2234" t="s">
        <v>1114</v>
      </c>
      <c r="B21" s="2234"/>
      <c r="C21" s="2234"/>
      <c r="D21" s="2234"/>
      <c r="E21" s="2234"/>
      <c r="F21" s="2234"/>
      <c r="G21" s="2234"/>
      <c r="H21" s="2234"/>
      <c r="I21" s="2234"/>
      <c r="J21" s="2234"/>
      <c r="K21" s="2234"/>
      <c r="L21" s="2234"/>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3">
        <f>'Basis &amp; Credits'!AB56</f>
        <v>1713711.6</v>
      </c>
      <c r="N26" s="2233"/>
      <c r="O26" s="2233"/>
      <c r="P26" s="2233"/>
      <c r="Q26" s="2233"/>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4">
        <f>'Basis &amp; Credits'!AB77</f>
        <v>0</v>
      </c>
      <c r="N27" s="2034"/>
      <c r="O27" s="2034"/>
      <c r="P27" s="2034"/>
      <c r="Q27" s="2034"/>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80"/>
    </row>
    <row r="33" spans="1:96" s="39" customFormat="1" ht="12.75" customHeight="1">
      <c r="A33" s="897" t="s">
        <v>1511</v>
      </c>
      <c r="C33" s="897"/>
      <c r="D33" s="897"/>
      <c r="E33" s="897"/>
      <c r="F33" s="897"/>
      <c r="G33" s="897"/>
      <c r="H33" s="897"/>
      <c r="I33" s="897"/>
      <c r="J33" s="897"/>
      <c r="K33" s="897"/>
      <c r="L33" s="897"/>
      <c r="M33" s="897"/>
      <c r="N33" s="897"/>
      <c r="O33" s="2055" t="s">
        <v>705</v>
      </c>
      <c r="P33" s="2055"/>
      <c r="Q33" s="897" t="s">
        <v>1512</v>
      </c>
      <c r="S33" s="897"/>
      <c r="T33" s="897"/>
      <c r="U33" s="897"/>
      <c r="V33" s="897"/>
      <c r="W33" s="897"/>
      <c r="X33" s="897"/>
      <c r="Y33" s="897"/>
      <c r="Z33" s="897"/>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80"/>
    </row>
    <row r="34" spans="1:96" s="39" customFormat="1" ht="12.75" customHeight="1">
      <c r="A34" s="238" t="s">
        <v>1514</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80"/>
    </row>
    <row r="35" spans="1:96" s="39" customFormat="1" ht="12.75" customHeight="1">
      <c r="A35" s="238" t="s">
        <v>1513</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80"/>
    </row>
    <row r="36" spans="1:96" ht="12.75" customHeight="1">
      <c r="A36" s="898" t="s">
        <v>1515</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2.75" customHeight="1">
      <c r="A37" s="58" t="s">
        <v>1516</v>
      </c>
      <c r="AZ37" s="31"/>
    </row>
    <row r="38" spans="1:96" ht="12.75" customHeight="1">
      <c r="A38" s="58" t="s">
        <v>1517</v>
      </c>
      <c r="AZ38" s="31"/>
    </row>
    <row r="39" spans="1:96" ht="12.75" customHeight="1">
      <c r="AZ39" s="31"/>
    </row>
    <row r="40" spans="1:96" ht="12.75" customHeight="1">
      <c r="A40" s="897" t="s">
        <v>1544</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2.75" customHeight="1">
      <c r="A41" s="907" t="s">
        <v>1545</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2.75" customHeight="1">
      <c r="A42" s="907" t="s">
        <v>1546</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510"/>
      <c r="AN42" s="1510"/>
      <c r="AO42" s="1510"/>
      <c r="AP42" s="1510"/>
      <c r="AQ42" s="1510"/>
      <c r="AR42" s="1510"/>
      <c r="AS42" s="1510"/>
      <c r="AT42" s="1510"/>
      <c r="AU42" s="1510"/>
      <c r="AV42" s="1510"/>
      <c r="AW42" s="1510"/>
      <c r="AX42" s="1510"/>
      <c r="AY42" s="1510"/>
      <c r="AZ42" s="31"/>
    </row>
    <row r="43" spans="1:96" ht="12.75" customHeight="1">
      <c r="A43" s="907" t="s">
        <v>1547</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2.75" customHeight="1">
      <c r="A44" s="908"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2.75" customHeight="1">
      <c r="A45" s="908"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2.75" customHeight="1">
      <c r="A46" s="908"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2.75" customHeight="1">
      <c r="A48" s="909"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2.75" customHeight="1">
      <c r="A49" s="906"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2.75" customHeight="1">
      <c r="A50" s="906"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2.75" customHeight="1">
      <c r="A51" s="906"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2.75" customHeight="1">
      <c r="A52" s="906"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3.9"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3.9"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8"/>
      <c r="CR89" s="680"/>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8"/>
      <c r="CR90" s="680"/>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8"/>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80"/>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80"/>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80"/>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80"/>
    </row>
    <row r="96" spans="1:96" s="39" customFormat="1" ht="12.75">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80"/>
    </row>
    <row r="97" spans="1:96" s="39" customFormat="1" ht="12.75">
      <c r="A97" s="175" t="s">
        <v>809</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80"/>
    </row>
    <row r="98" spans="1:96" s="39" customFormat="1" ht="12.75">
      <c r="A98" s="175" t="s">
        <v>955</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80"/>
    </row>
    <row r="99" spans="1:96" s="39" customFormat="1" ht="12.75">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80"/>
    </row>
    <row r="100" spans="1:96" s="39" customFormat="1" ht="12.75">
      <c r="A100" s="879" t="s">
        <v>1462</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80"/>
    </row>
    <row r="101" spans="1:96" s="39" customFormat="1" ht="12.75">
      <c r="A101" s="39" t="s">
        <v>1463</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80"/>
    </row>
    <row r="102" spans="1:96" s="39" customFormat="1" ht="12.75">
      <c r="A102" s="680" t="s">
        <v>1464</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80"/>
    </row>
    <row r="103" spans="1:96" ht="12.75">
      <c r="A103" s="880" t="s">
        <v>1465</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2.75">
      <c r="A104" s="1" t="s">
        <v>1466</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2.75">
      <c r="A105" s="880" t="s">
        <v>1467</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2.75">
      <c r="A106" s="880" t="s">
        <v>1468</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2.75">
      <c r="A107" s="880" t="s">
        <v>1469</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2.75">
      <c r="A108" s="880" t="s">
        <v>1470</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2.75">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2.75">
      <c r="A110" s="881"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2.75">
      <c r="A111" s="451"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80"/>
    </row>
    <row r="112" spans="1:96" ht="12.75">
      <c r="A112" s="450"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2.75">
      <c r="A113" s="450"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2.75">
      <c r="A117" s="138" t="s">
        <v>812</v>
      </c>
      <c r="B117" s="35"/>
      <c r="C117" s="35"/>
    </row>
    <row r="118" spans="1:96" ht="12.75"/>
    <row r="119" spans="1:96" ht="12.75" customHeight="1">
      <c r="A119" s="138" t="s">
        <v>813</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2.75">
      <c r="A120" s="138" t="s">
        <v>814</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2.75">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2.75">
      <c r="A122" s="58"/>
      <c r="B122" s="58"/>
      <c r="C122" s="238" t="s">
        <v>185</v>
      </c>
      <c r="G122" s="2226">
        <v>21</v>
      </c>
      <c r="H122" s="2226"/>
      <c r="I122" s="238" t="s">
        <v>186</v>
      </c>
      <c r="L122" s="2226" t="s">
        <v>2688</v>
      </c>
      <c r="M122" s="2226"/>
      <c r="N122" s="2226"/>
      <c r="O122" s="910" t="s">
        <v>2689</v>
      </c>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2.75">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80"/>
    </row>
    <row r="124" spans="1:96" ht="12.75">
      <c r="A124" s="58"/>
      <c r="B124" s="58"/>
      <c r="C124" s="2196" t="s">
        <v>769</v>
      </c>
      <c r="D124" s="2196"/>
      <c r="E124" s="2196"/>
      <c r="F124" s="2196"/>
      <c r="G124" s="2196"/>
      <c r="H124" s="2196"/>
      <c r="I124" s="2196"/>
      <c r="J124" s="2196"/>
      <c r="K124" s="2196"/>
      <c r="L124" s="322" t="s">
        <v>661</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2.75">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2.75">
      <c r="X126" s="238" t="s">
        <v>662</v>
      </c>
      <c r="Y126" s="2226"/>
      <c r="Z126" s="2226"/>
      <c r="AA126" s="2226"/>
      <c r="AB126" s="2226"/>
      <c r="AC126" s="2226"/>
      <c r="AD126" s="2226"/>
      <c r="AE126" s="2226"/>
      <c r="AF126" s="2226"/>
      <c r="AG126" s="2226"/>
      <c r="AH126" s="2226"/>
      <c r="AI126" s="2226"/>
      <c r="AJ126" s="2226"/>
      <c r="AK126" s="2226"/>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2.7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75">
      <c r="A129" s="696"/>
      <c r="B129" s="150"/>
      <c r="R129" s="264"/>
      <c r="S129" s="264"/>
      <c r="T129" s="264"/>
      <c r="U129" s="264"/>
      <c r="V129" s="264"/>
      <c r="W129" s="264"/>
      <c r="X129" s="58"/>
      <c r="Y129" s="2232" t="s">
        <v>2690</v>
      </c>
      <c r="Z129" s="2232"/>
      <c r="AA129" s="2232"/>
      <c r="AB129" s="2232"/>
      <c r="AC129" s="2232"/>
      <c r="AD129" s="2232"/>
      <c r="AE129" s="2232"/>
      <c r="AF129" s="2232"/>
      <c r="AG129" s="2232"/>
      <c r="AH129" s="2232"/>
      <c r="AI129" s="2232"/>
      <c r="AJ129" s="2232"/>
      <c r="AK129" s="2232"/>
      <c r="AL129" s="696"/>
      <c r="AM129" s="1578"/>
      <c r="AN129" s="1578"/>
      <c r="AO129" s="1578"/>
      <c r="AP129" s="1578"/>
      <c r="AQ129" s="1578"/>
      <c r="AR129" s="1578"/>
      <c r="AS129" s="1578"/>
      <c r="AT129" s="1578"/>
      <c r="AU129" s="1578"/>
      <c r="AV129" s="1578"/>
      <c r="AW129" s="1578"/>
      <c r="AX129" s="1578"/>
      <c r="AY129" s="1578"/>
    </row>
    <row r="130" spans="1:96" ht="12.75">
      <c r="A130" s="177"/>
      <c r="B130" s="147"/>
      <c r="C130" s="264"/>
      <c r="R130" s="264"/>
      <c r="S130" s="264"/>
      <c r="T130" s="264"/>
      <c r="U130" s="264"/>
      <c r="V130" s="264"/>
      <c r="W130" s="264"/>
      <c r="X130" s="58"/>
      <c r="Y130" s="58"/>
      <c r="Z130" s="58" t="s">
        <v>664</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2.75"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32" t="s">
        <v>2691</v>
      </c>
      <c r="Z132" s="2232"/>
      <c r="AA132" s="2232"/>
      <c r="AB132" s="2232"/>
      <c r="AC132" s="2232"/>
      <c r="AD132" s="2232"/>
      <c r="AE132" s="2232"/>
      <c r="AF132" s="2232"/>
      <c r="AG132" s="2232"/>
      <c r="AH132" s="2232"/>
      <c r="AI132" s="2232"/>
      <c r="AJ132" s="2232"/>
      <c r="AK132" s="2232"/>
      <c r="AL132" s="177"/>
      <c r="AM132" s="239"/>
      <c r="AN132" s="239"/>
      <c r="AO132" s="239"/>
      <c r="AP132" s="239"/>
      <c r="AQ132" s="239"/>
      <c r="AR132" s="239"/>
      <c r="AS132" s="239"/>
      <c r="AT132" s="239"/>
      <c r="AU132" s="239"/>
      <c r="AV132" s="239"/>
      <c r="AW132" s="239"/>
      <c r="AX132" s="239"/>
      <c r="AY132" s="239"/>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39"/>
      <c r="AN139" s="239"/>
      <c r="AO139" s="239"/>
      <c r="AP139" s="239"/>
      <c r="AQ139" s="239"/>
      <c r="AR139" s="239"/>
      <c r="AS139" s="239"/>
      <c r="AT139" s="239"/>
      <c r="AU139" s="239"/>
      <c r="AV139" s="239"/>
      <c r="AW139" s="239"/>
      <c r="AX139" s="239"/>
      <c r="AY139" s="239"/>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39"/>
      <c r="AN140" s="239"/>
      <c r="AO140" s="239"/>
      <c r="AP140" s="239"/>
      <c r="AQ140" s="239"/>
      <c r="AR140" s="239"/>
      <c r="AS140" s="239"/>
      <c r="AT140" s="239"/>
      <c r="AU140" s="239"/>
      <c r="AV140" s="239"/>
      <c r="AW140" s="239"/>
      <c r="AX140" s="239"/>
      <c r="AY140" s="239"/>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39"/>
      <c r="AN141" s="239"/>
      <c r="AO141" s="239"/>
      <c r="AP141" s="239"/>
      <c r="AQ141" s="239"/>
      <c r="AR141" s="239"/>
      <c r="AS141" s="239"/>
      <c r="AT141" s="239"/>
      <c r="AU141" s="239"/>
      <c r="AV141" s="239"/>
      <c r="AW141" s="239"/>
      <c r="AX141" s="239"/>
      <c r="AY141" s="239"/>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39"/>
      <c r="AN142" s="239"/>
      <c r="AO142" s="239"/>
      <c r="AP142" s="239"/>
      <c r="AQ142" s="239"/>
      <c r="AR142" s="239"/>
      <c r="AS142" s="239"/>
      <c r="AT142" s="239"/>
      <c r="AU142" s="239"/>
      <c r="AV142" s="239"/>
      <c r="AW142" s="239"/>
      <c r="AX142" s="239"/>
      <c r="AY142" s="239"/>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39"/>
      <c r="AN143" s="239"/>
      <c r="AO143" s="239"/>
      <c r="AP143" s="239"/>
      <c r="AQ143" s="239"/>
      <c r="AR143" s="239"/>
      <c r="AS143" s="239"/>
      <c r="AT143" s="239"/>
      <c r="AU143" s="239"/>
      <c r="AV143" s="239"/>
      <c r="AW143" s="239"/>
      <c r="AX143" s="239"/>
      <c r="AY143" s="239"/>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39"/>
      <c r="AN144" s="239"/>
      <c r="AO144" s="239"/>
      <c r="AP144" s="239"/>
      <c r="AQ144" s="239"/>
      <c r="AR144" s="239"/>
      <c r="AS144" s="239"/>
      <c r="AT144" s="239"/>
      <c r="AU144" s="239"/>
      <c r="AV144" s="239"/>
      <c r="AW144" s="239"/>
      <c r="AX144" s="239"/>
      <c r="AY144" s="239"/>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39"/>
      <c r="AN145" s="239"/>
      <c r="AO145" s="239"/>
      <c r="AP145" s="239"/>
      <c r="AQ145" s="239"/>
      <c r="AR145" s="239"/>
      <c r="AS145" s="239"/>
      <c r="AT145" s="239"/>
      <c r="AU145" s="239"/>
      <c r="AV145" s="239"/>
      <c r="AW145" s="239"/>
      <c r="AX145" s="239"/>
      <c r="AY145" s="239"/>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39"/>
      <c r="AN146" s="239"/>
      <c r="AO146" s="239"/>
      <c r="AP146" s="239"/>
      <c r="AQ146" s="239"/>
      <c r="AR146" s="239"/>
      <c r="AS146" s="239"/>
      <c r="AT146" s="239"/>
      <c r="AU146" s="239"/>
      <c r="AV146" s="239"/>
      <c r="AW146" s="239"/>
      <c r="AX146" s="239"/>
      <c r="AY146" s="239"/>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18" customFormat="1" ht="12.75" customHeight="1">
      <c r="A150" s="177"/>
      <c r="B150" s="177"/>
      <c r="C150" s="25"/>
      <c r="D150" s="177"/>
      <c r="E150" s="177"/>
      <c r="F150" s="2142"/>
      <c r="G150" s="2142"/>
      <c r="H150" s="2142"/>
      <c r="I150" s="2142"/>
      <c r="J150" s="2142"/>
      <c r="K150" s="2142"/>
      <c r="L150" s="2142"/>
      <c r="M150" s="2142"/>
      <c r="N150" s="2142"/>
      <c r="O150" s="2142"/>
      <c r="P150" s="2142"/>
      <c r="Q150" s="2142"/>
      <c r="R150" s="2142"/>
      <c r="S150" s="2142"/>
      <c r="T150" s="2142"/>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43" t="s">
        <v>2520</v>
      </c>
      <c r="P153" s="2043"/>
      <c r="Q153" s="2043"/>
      <c r="R153" s="2043"/>
      <c r="S153" s="2043"/>
      <c r="T153" s="2043"/>
      <c r="U153" s="2043"/>
      <c r="V153" s="2043"/>
      <c r="W153" s="2043"/>
      <c r="X153" s="2043"/>
      <c r="Y153" s="2043"/>
      <c r="Z153" s="2043"/>
      <c r="AA153" s="2043"/>
      <c r="AB153" s="2043"/>
      <c r="AC153" s="2043"/>
      <c r="AD153" s="2043"/>
      <c r="AE153" s="2043"/>
      <c r="AF153" s="2043"/>
      <c r="AG153" s="2043"/>
      <c r="AH153" s="2043"/>
    </row>
    <row r="154" spans="1:96" ht="12.75" customHeight="1">
      <c r="D154" s="465" t="s">
        <v>461</v>
      </c>
      <c r="F154" s="32"/>
      <c r="G154" s="32"/>
      <c r="H154" s="32"/>
      <c r="I154" s="32"/>
      <c r="J154" s="32"/>
      <c r="K154" s="32"/>
      <c r="L154" s="32"/>
      <c r="M154" s="32"/>
      <c r="N154" s="32"/>
      <c r="O154" s="2177" t="s">
        <v>2522</v>
      </c>
      <c r="P154" s="2045"/>
      <c r="Q154" s="2045"/>
      <c r="R154" s="2045"/>
      <c r="S154" s="2045"/>
      <c r="T154" s="2045"/>
      <c r="U154" s="2045"/>
      <c r="V154" s="2045"/>
      <c r="W154" s="2045"/>
      <c r="X154" s="2045"/>
      <c r="Y154" s="2045"/>
      <c r="Z154" s="2045"/>
      <c r="AA154" s="2045"/>
      <c r="AB154" s="2045"/>
      <c r="AC154" s="2045"/>
      <c r="AD154" s="2045"/>
      <c r="AE154" s="2045"/>
      <c r="AF154" s="2045"/>
      <c r="AG154" s="2045"/>
      <c r="AH154" s="2045"/>
      <c r="AZ154" s="25"/>
    </row>
    <row r="155" spans="1:96" ht="12.75">
      <c r="D155" s="13" t="s">
        <v>463</v>
      </c>
      <c r="F155" s="13"/>
      <c r="G155" s="13"/>
      <c r="H155" s="13"/>
      <c r="I155" s="13"/>
      <c r="J155" s="13"/>
      <c r="K155" s="13"/>
      <c r="L155" s="13"/>
      <c r="M155" s="13"/>
      <c r="N155" s="13"/>
      <c r="O155" s="2236" t="s">
        <v>462</v>
      </c>
      <c r="P155" s="2236"/>
      <c r="Q155" s="2236"/>
      <c r="R155" s="2236"/>
      <c r="S155" s="2236"/>
      <c r="T155" s="2236"/>
      <c r="U155" s="2236"/>
      <c r="V155" s="2236"/>
      <c r="W155" s="2236"/>
      <c r="X155" s="2236"/>
      <c r="Y155" s="2236"/>
      <c r="Z155" s="2236"/>
      <c r="AA155" s="2236"/>
      <c r="AB155" s="2236"/>
      <c r="AC155" s="2236"/>
      <c r="AD155" s="2236"/>
      <c r="AE155" s="2236"/>
      <c r="AF155" s="2236"/>
      <c r="AG155" s="2236"/>
      <c r="AH155" s="2236"/>
      <c r="AZ155" s="25"/>
    </row>
    <row r="156" spans="1:96" ht="12.75">
      <c r="D156" s="32" t="s">
        <v>321</v>
      </c>
      <c r="F156" s="32"/>
      <c r="G156" s="32"/>
      <c r="H156" s="32"/>
      <c r="I156" s="32"/>
      <c r="J156" s="32"/>
      <c r="K156" s="32"/>
      <c r="L156" s="32"/>
      <c r="M156" s="32"/>
      <c r="N156" s="32"/>
      <c r="O156" s="2040" t="s">
        <v>2521</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315</v>
      </c>
    </row>
    <row r="157" spans="1:96" ht="12.75">
      <c r="D157" s="32" t="s">
        <v>322</v>
      </c>
      <c r="F157" s="32"/>
      <c r="G157" s="32"/>
      <c r="H157" s="32"/>
      <c r="I157" s="32"/>
      <c r="J157" s="32"/>
      <c r="K157" s="32"/>
      <c r="L157" s="32"/>
      <c r="M157" s="32"/>
      <c r="N157" s="32"/>
      <c r="O157" s="2043" t="s">
        <v>70</v>
      </c>
      <c r="P157" s="2195"/>
      <c r="Q157" s="2195"/>
      <c r="R157" s="2195"/>
      <c r="S157" s="2195"/>
      <c r="T157" s="2195"/>
      <c r="U157" s="2195"/>
      <c r="V157" s="2195"/>
      <c r="W157" s="2195"/>
      <c r="X157" s="2195"/>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237">
        <v>92522</v>
      </c>
      <c r="P158" s="2237"/>
      <c r="Q158" s="2237"/>
      <c r="R158" s="2237"/>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197" t="s">
        <v>2630</v>
      </c>
      <c r="P159" s="2197"/>
      <c r="Q159" s="2197"/>
      <c r="R159" s="2197"/>
      <c r="S159" s="2197"/>
      <c r="T159" s="2197"/>
      <c r="V159" s="146" t="s">
        <v>276</v>
      </c>
      <c r="W159" s="2238"/>
      <c r="X159" s="2238"/>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197" t="s">
        <v>625</v>
      </c>
      <c r="P160" s="2197"/>
      <c r="Q160" s="2197"/>
      <c r="R160" s="2197"/>
      <c r="S160" s="2197"/>
      <c r="T160" s="2197"/>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198" t="s">
        <v>625</v>
      </c>
      <c r="P161" s="2198"/>
      <c r="Q161" s="2198"/>
      <c r="R161" s="2198"/>
      <c r="S161" s="2198"/>
      <c r="T161" s="2198"/>
      <c r="U161" s="2198"/>
      <c r="V161" s="2198"/>
      <c r="W161" s="2198"/>
      <c r="X161" s="2198"/>
      <c r="Y161" s="2198"/>
      <c r="Z161" s="2198"/>
      <c r="AA161" s="2198"/>
      <c r="AB161" s="2198"/>
      <c r="AC161" s="2198"/>
      <c r="AD161" s="2198"/>
      <c r="AE161" s="2198"/>
      <c r="AF161" s="2198"/>
      <c r="AG161" s="2198"/>
      <c r="AH161" s="2198"/>
      <c r="BJ161" s="12" t="s">
        <v>705</v>
      </c>
      <c r="BN161" s="36" t="s">
        <v>697</v>
      </c>
      <c r="BT161" s="12" t="s">
        <v>512</v>
      </c>
    </row>
    <row r="162" spans="1:72" ht="12.75">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577</v>
      </c>
      <c r="BN162" s="36" t="s">
        <v>698</v>
      </c>
      <c r="BT162" s="12" t="s">
        <v>513</v>
      </c>
    </row>
    <row r="163" spans="1:72" ht="12.75">
      <c r="C163" s="141" t="s">
        <v>86</v>
      </c>
      <c r="D163" s="235" t="s">
        <v>87</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699</v>
      </c>
      <c r="BT163" s="12" t="s">
        <v>514</v>
      </c>
    </row>
    <row r="164" spans="1:72" ht="12.75">
      <c r="C164" s="141"/>
      <c r="D164" s="2199" t="s">
        <v>1454</v>
      </c>
      <c r="E164" s="2199"/>
      <c r="F164" s="2199"/>
      <c r="G164" s="2199"/>
      <c r="H164" s="2199"/>
      <c r="I164" s="2199"/>
      <c r="J164" s="2199"/>
      <c r="K164" s="2199"/>
      <c r="L164" s="2199"/>
      <c r="M164" s="2199"/>
      <c r="N164" s="2199"/>
      <c r="O164" s="2199"/>
      <c r="P164" s="2199"/>
      <c r="Q164" s="2199"/>
      <c r="R164" s="2199"/>
      <c r="S164" s="2199"/>
      <c r="T164" s="2199"/>
      <c r="U164" s="2199"/>
      <c r="V164" s="2199"/>
      <c r="W164" s="2199"/>
      <c r="X164" s="2199"/>
      <c r="Y164" s="2199"/>
      <c r="Z164" s="2199"/>
      <c r="AA164" s="2199"/>
      <c r="AB164" s="2199"/>
      <c r="AC164" s="2199"/>
      <c r="AD164" s="2199"/>
      <c r="AE164" s="2199"/>
      <c r="AF164" s="2199"/>
      <c r="AG164" s="2199"/>
      <c r="AH164" s="2199"/>
      <c r="AI164" s="39"/>
      <c r="AJ164" s="39"/>
      <c r="AK164" s="39"/>
      <c r="AL164" s="39"/>
      <c r="BN164" s="36" t="s">
        <v>700</v>
      </c>
      <c r="BT164" s="12" t="s">
        <v>515</v>
      </c>
    </row>
    <row r="165" spans="1:72" ht="12.75">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701</v>
      </c>
      <c r="BT165" s="12" t="s">
        <v>516</v>
      </c>
    </row>
    <row r="166" spans="1:72" ht="12.75">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703</v>
      </c>
      <c r="BT166" s="12" t="s">
        <v>517</v>
      </c>
    </row>
    <row r="167" spans="1:72" ht="12.75">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706</v>
      </c>
      <c r="BT167" s="12" t="s">
        <v>518</v>
      </c>
    </row>
    <row r="168" spans="1:72" ht="12.75">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707</v>
      </c>
      <c r="BT168" s="12" t="s">
        <v>519</v>
      </c>
    </row>
    <row r="169" spans="1:72" ht="12.75">
      <c r="A169" s="2086" t="s">
        <v>571</v>
      </c>
      <c r="B169" s="2086"/>
      <c r="C169" s="2086"/>
      <c r="D169" s="2086"/>
      <c r="E169" s="2086"/>
      <c r="F169" s="2086"/>
      <c r="G169" s="2086"/>
      <c r="H169" s="2086"/>
      <c r="I169" s="2086"/>
      <c r="J169" s="2086"/>
      <c r="K169" s="2086"/>
      <c r="L169" s="2086"/>
      <c r="M169" s="2086"/>
      <c r="N169" s="2086"/>
      <c r="O169" s="2086"/>
      <c r="P169" s="2086"/>
      <c r="Q169" s="2086"/>
      <c r="R169" s="2086"/>
      <c r="S169" s="2086"/>
      <c r="T169" s="2086"/>
      <c r="U169" s="2086"/>
      <c r="V169" s="2086"/>
      <c r="W169" s="2086"/>
      <c r="X169" s="2086"/>
      <c r="Y169" s="2086"/>
      <c r="Z169" s="2086"/>
      <c r="AA169" s="2086"/>
      <c r="AB169" s="2086"/>
      <c r="AC169" s="2086"/>
      <c r="AD169" s="2086"/>
      <c r="AE169" s="2086"/>
      <c r="AF169" s="2086"/>
      <c r="AG169" s="2086"/>
      <c r="AH169" s="2086"/>
      <c r="AI169" s="2086"/>
      <c r="AJ169" s="2086"/>
      <c r="AK169" s="2086"/>
      <c r="AL169" s="2086"/>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7"/>
      <c r="B170" s="2087"/>
      <c r="C170" s="2087"/>
      <c r="D170" s="2087"/>
      <c r="E170" s="2087"/>
      <c r="F170" s="2087"/>
      <c r="G170" s="2087"/>
      <c r="H170" s="2087"/>
      <c r="I170" s="2087"/>
      <c r="J170" s="2087"/>
      <c r="K170" s="2087"/>
      <c r="L170" s="2087"/>
      <c r="M170" s="2087"/>
      <c r="N170" s="2087"/>
      <c r="O170" s="2087"/>
      <c r="P170" s="2087"/>
      <c r="Q170" s="2087"/>
      <c r="R170" s="2087"/>
      <c r="S170" s="2087"/>
      <c r="T170" s="2087"/>
      <c r="U170" s="2087"/>
      <c r="V170" s="2087"/>
      <c r="W170" s="2087"/>
      <c r="X170" s="2087"/>
      <c r="Y170" s="2087"/>
      <c r="Z170" s="2087"/>
      <c r="AA170" s="2087"/>
      <c r="AB170" s="2087"/>
      <c r="AC170" s="2087"/>
      <c r="AD170" s="2087"/>
      <c r="AE170" s="2087"/>
      <c r="AF170" s="2087"/>
      <c r="AG170" s="2087"/>
      <c r="AH170" s="2087"/>
      <c r="AI170" s="2087"/>
      <c r="AJ170" s="2087"/>
      <c r="AK170" s="2087"/>
      <c r="AL170" s="2087"/>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218</v>
      </c>
      <c r="BT172" s="12" t="s">
        <v>523</v>
      </c>
    </row>
    <row r="173" spans="1:72" ht="12.75">
      <c r="A173" s="25"/>
      <c r="C173" s="38"/>
      <c r="D173" s="39" t="s">
        <v>329</v>
      </c>
      <c r="J173" s="2235" t="s">
        <v>388</v>
      </c>
      <c r="K173" s="2235"/>
      <c r="L173" s="2235"/>
      <c r="M173" s="2235"/>
      <c r="N173" s="2235"/>
      <c r="O173" s="2235"/>
      <c r="P173" s="2235"/>
      <c r="Q173" s="2235"/>
      <c r="R173" s="2235"/>
      <c r="S173" s="2235"/>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219</v>
      </c>
      <c r="BT173" s="12" t="s">
        <v>524</v>
      </c>
    </row>
    <row r="174" spans="1:72" ht="12.75">
      <c r="A174" s="25"/>
      <c r="C174" s="38"/>
      <c r="D174" s="58" t="s">
        <v>1407</v>
      </c>
      <c r="E174" s="25"/>
      <c r="F174" s="25"/>
      <c r="G174" s="25"/>
      <c r="H174" s="25"/>
      <c r="I174" s="25"/>
      <c r="J174" s="2040" t="s">
        <v>2523</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0"/>
      <c r="AN174" s="680"/>
      <c r="AO174" s="680"/>
      <c r="AP174" s="680"/>
      <c r="AQ174" s="680"/>
      <c r="AR174" s="680"/>
      <c r="AS174" s="680"/>
      <c r="AT174" s="680"/>
      <c r="AU174" s="680"/>
      <c r="AV174" s="680"/>
      <c r="AW174" s="680"/>
      <c r="AX174" s="680"/>
      <c r="AY174" s="680"/>
      <c r="BN174" s="36" t="s">
        <v>221</v>
      </c>
      <c r="BT174" s="12" t="s">
        <v>525</v>
      </c>
    </row>
    <row r="175" spans="1:72" ht="12.75">
      <c r="A175" s="25"/>
      <c r="C175" s="13"/>
      <c r="D175" s="58" t="s">
        <v>330</v>
      </c>
      <c r="F175" s="718"/>
      <c r="G175" s="718"/>
      <c r="H175" s="718"/>
      <c r="I175" s="718"/>
      <c r="J175" s="718"/>
      <c r="K175" s="718"/>
      <c r="L175" s="718"/>
      <c r="M175" s="718"/>
      <c r="N175" s="718"/>
      <c r="O175" s="42"/>
      <c r="Q175" s="25"/>
      <c r="R175" s="25"/>
      <c r="T175" s="718"/>
      <c r="U175" s="2055" t="s">
        <v>705</v>
      </c>
      <c r="V175" s="2055"/>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222</v>
      </c>
      <c r="BT175" s="12" t="s">
        <v>526</v>
      </c>
    </row>
    <row r="176" spans="1:72" ht="12.75">
      <c r="A176" s="25"/>
      <c r="C176" s="13"/>
      <c r="D176" s="41"/>
      <c r="E176" s="718" t="s">
        <v>311</v>
      </c>
      <c r="F176" s="718"/>
      <c r="G176" s="718"/>
      <c r="H176" s="718"/>
      <c r="I176" s="718"/>
      <c r="J176" s="718"/>
      <c r="K176" s="718"/>
      <c r="L176" s="718"/>
      <c r="M176" s="718"/>
      <c r="N176" s="718"/>
      <c r="O176" s="42"/>
      <c r="P176" s="25" t="s">
        <v>312</v>
      </c>
      <c r="Q176" s="25"/>
      <c r="R176" s="25"/>
      <c r="S176" s="25" t="s">
        <v>313</v>
      </c>
      <c r="T176" s="718"/>
      <c r="U176" s="2166"/>
      <c r="V176" s="2166"/>
      <c r="W176" s="4" t="s">
        <v>314</v>
      </c>
      <c r="X176" s="2220"/>
      <c r="Y176" s="2220"/>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224</v>
      </c>
      <c r="BT176" s="12" t="s">
        <v>527</v>
      </c>
    </row>
    <row r="177" spans="1:96" s="718" customFormat="1" ht="12.75">
      <c r="A177" s="25"/>
      <c r="B177" s="12"/>
      <c r="C177" s="43"/>
      <c r="D177" s="25" t="s">
        <v>254</v>
      </c>
      <c r="E177" s="12"/>
      <c r="F177" s="12"/>
      <c r="G177" s="12"/>
      <c r="H177" s="12"/>
      <c r="I177" s="12"/>
      <c r="J177" s="12"/>
      <c r="K177" s="12"/>
      <c r="L177" s="12"/>
      <c r="M177" s="25"/>
      <c r="N177" s="12"/>
      <c r="O177" s="12"/>
      <c r="P177" s="12"/>
      <c r="Q177" s="12"/>
      <c r="R177" s="2055" t="s">
        <v>705</v>
      </c>
      <c r="S177" s="2055"/>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225</v>
      </c>
      <c r="BT177" s="718" t="s">
        <v>528</v>
      </c>
      <c r="CR177" s="25"/>
    </row>
    <row r="178" spans="1:96" s="718"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94"/>
      <c r="AG178" s="2394"/>
      <c r="AH178" s="4" t="s">
        <v>314</v>
      </c>
      <c r="AI178" s="2239"/>
      <c r="AJ178" s="2239"/>
      <c r="AK178" s="2239"/>
      <c r="AL178" s="680"/>
      <c r="AM178" s="680"/>
      <c r="AN178" s="680"/>
      <c r="AO178" s="680"/>
      <c r="AP178" s="680"/>
      <c r="AQ178" s="680"/>
      <c r="AR178" s="680"/>
      <c r="AS178" s="680"/>
      <c r="AT178" s="680"/>
      <c r="AU178" s="680"/>
      <c r="AV178" s="680"/>
      <c r="AW178" s="680"/>
      <c r="AX178" s="680"/>
      <c r="AY178" s="680"/>
      <c r="BN178" s="36" t="s">
        <v>226</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227</v>
      </c>
      <c r="BT179" s="718" t="s">
        <v>57</v>
      </c>
      <c r="CR179" s="25"/>
    </row>
    <row r="180" spans="1:96" s="718" customFormat="1" ht="12.75">
      <c r="A180" s="25"/>
      <c r="B180" s="12"/>
      <c r="C180" s="43"/>
      <c r="D180" s="680" t="s">
        <v>464</v>
      </c>
      <c r="E180" s="25"/>
      <c r="X180" s="2055" t="s">
        <v>705</v>
      </c>
      <c r="Y180" s="2055"/>
      <c r="Z180" s="876"/>
      <c r="AK180" s="680"/>
      <c r="AL180" s="680"/>
      <c r="AM180" s="680"/>
      <c r="AN180" s="680"/>
      <c r="AO180" s="680"/>
      <c r="AP180" s="680"/>
      <c r="AQ180" s="680"/>
      <c r="AR180" s="680"/>
      <c r="AS180" s="680"/>
      <c r="AT180" s="680"/>
      <c r="AU180" s="680"/>
      <c r="AV180" s="680"/>
      <c r="AW180" s="680"/>
      <c r="AX180" s="680"/>
      <c r="AY180" s="680"/>
      <c r="BN180" s="36" t="s">
        <v>229</v>
      </c>
      <c r="BT180" s="718" t="s">
        <v>58</v>
      </c>
      <c r="CR180" s="25"/>
    </row>
    <row r="181" spans="1:96" s="718" customFormat="1" ht="13.15" customHeight="1">
      <c r="A181" s="25"/>
      <c r="B181" s="12"/>
      <c r="C181" s="44"/>
      <c r="E181" s="7" t="s">
        <v>1053</v>
      </c>
      <c r="Z181" s="25"/>
      <c r="AA181" s="25"/>
      <c r="AJ181" s="680"/>
      <c r="AK181" s="680"/>
      <c r="AL181" s="680"/>
      <c r="AM181" s="680"/>
      <c r="AN181" s="680"/>
      <c r="AO181" s="680"/>
      <c r="AP181" s="680"/>
      <c r="AQ181" s="680"/>
      <c r="AR181" s="680"/>
      <c r="AS181" s="680"/>
      <c r="AT181" s="680"/>
      <c r="AU181" s="680"/>
      <c r="AV181" s="680"/>
      <c r="AW181" s="680"/>
      <c r="AX181" s="680"/>
      <c r="AY181" s="680"/>
      <c r="BN181" s="36" t="s">
        <v>230</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233</v>
      </c>
      <c r="BT183" s="12" t="s">
        <v>64</v>
      </c>
    </row>
    <row r="184" spans="1:96" ht="12.75">
      <c r="A184" s="25"/>
      <c r="C184" s="45"/>
      <c r="D184" s="25" t="s">
        <v>612</v>
      </c>
      <c r="E184" s="25"/>
      <c r="F184" s="25"/>
      <c r="G184" s="25"/>
      <c r="H184" s="25"/>
      <c r="I184" s="2042" t="str">
        <f>H18</f>
        <v>Entrada Apartments</v>
      </c>
      <c r="J184" s="2042"/>
      <c r="K184" s="2042"/>
      <c r="L184" s="2042"/>
      <c r="M184" s="2042"/>
      <c r="N184" s="2042"/>
      <c r="O184" s="2042"/>
      <c r="P184" s="2042"/>
      <c r="Q184" s="2042"/>
      <c r="R184" s="2042"/>
      <c r="S184" s="2042"/>
      <c r="T184" s="2042"/>
      <c r="U184" s="2042"/>
      <c r="V184" s="2042"/>
      <c r="W184" s="2042"/>
      <c r="X184" s="2042"/>
      <c r="Y184" s="2042"/>
      <c r="Z184" s="2042"/>
      <c r="AA184" s="2042"/>
      <c r="AB184" s="2042"/>
      <c r="AC184" s="2042"/>
      <c r="AD184" s="2042"/>
      <c r="AE184" s="2042"/>
      <c r="AF184" s="25"/>
      <c r="AH184" s="25"/>
      <c r="AJ184" s="3"/>
      <c r="AK184" s="3"/>
      <c r="AL184" s="3"/>
      <c r="AM184" s="680"/>
      <c r="AN184" s="680"/>
      <c r="AO184" s="680"/>
      <c r="AP184" s="680"/>
      <c r="AQ184" s="680"/>
      <c r="AR184" s="680"/>
      <c r="AS184" s="680"/>
      <c r="AT184" s="680"/>
      <c r="AU184" s="680"/>
      <c r="AV184" s="680"/>
      <c r="AW184" s="680"/>
      <c r="AX184" s="680"/>
      <c r="AY184" s="680"/>
      <c r="BC184" s="25" t="s">
        <v>621</v>
      </c>
      <c r="BN184" s="36" t="s">
        <v>235</v>
      </c>
      <c r="BT184" s="12" t="s">
        <v>65</v>
      </c>
    </row>
    <row r="185" spans="1:96" ht="12.75">
      <c r="A185" s="25"/>
      <c r="C185" s="45"/>
      <c r="D185" s="25" t="s">
        <v>613</v>
      </c>
      <c r="E185" s="25"/>
      <c r="F185" s="25"/>
      <c r="G185" s="25"/>
      <c r="H185" s="25"/>
      <c r="I185" s="2032" t="s">
        <v>2524</v>
      </c>
      <c r="J185" s="2032"/>
      <c r="K185" s="2032"/>
      <c r="L185" s="2032"/>
      <c r="M185" s="2032"/>
      <c r="N185" s="2032"/>
      <c r="O185" s="2032"/>
      <c r="P185" s="2032"/>
      <c r="Q185" s="2032"/>
      <c r="R185" s="2032"/>
      <c r="S185" s="2032"/>
      <c r="T185" s="2032"/>
      <c r="U185" s="2032"/>
      <c r="V185" s="2032"/>
      <c r="W185" s="2032"/>
      <c r="X185" s="2032"/>
      <c r="Y185" s="2032"/>
      <c r="Z185" s="2032"/>
      <c r="AA185" s="2032"/>
      <c r="AB185" s="2032"/>
      <c r="AC185" s="2032"/>
      <c r="AD185" s="2032"/>
      <c r="AE185" s="2032"/>
      <c r="AF185" s="25"/>
      <c r="AH185" s="25"/>
      <c r="AJ185" s="3"/>
      <c r="AK185" s="3"/>
      <c r="AL185" s="3"/>
      <c r="AM185" s="680"/>
      <c r="AN185" s="680"/>
      <c r="AO185" s="680"/>
      <c r="AP185" s="680"/>
      <c r="AQ185" s="680"/>
      <c r="AR185" s="680"/>
      <c r="AS185" s="680"/>
      <c r="AT185" s="680"/>
      <c r="AU185" s="680"/>
      <c r="AV185" s="680"/>
      <c r="AW185" s="680"/>
      <c r="AX185" s="680"/>
      <c r="AY185" s="680"/>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237</v>
      </c>
      <c r="BT186" s="12" t="s">
        <v>67</v>
      </c>
    </row>
    <row r="187" spans="1:96" ht="12.75">
      <c r="A187" s="25"/>
      <c r="C187" s="45"/>
      <c r="D187" s="25"/>
      <c r="E187" s="2089"/>
      <c r="F187" s="2089"/>
      <c r="G187" s="2089"/>
      <c r="H187" s="2089"/>
      <c r="I187" s="2089"/>
      <c r="J187" s="2089"/>
      <c r="K187" s="2089"/>
      <c r="L187" s="2089"/>
      <c r="M187" s="2089"/>
      <c r="N187" s="2089"/>
      <c r="O187" s="2089"/>
      <c r="P187" s="2089"/>
      <c r="Q187" s="2089"/>
      <c r="R187" s="2089"/>
      <c r="S187" s="2089"/>
      <c r="T187" s="2089"/>
      <c r="U187" s="2089"/>
      <c r="V187" s="2089"/>
      <c r="W187" s="2089"/>
      <c r="X187" s="2089"/>
      <c r="Y187" s="2089"/>
      <c r="Z187" s="2089"/>
      <c r="AA187" s="2089"/>
      <c r="AB187" s="2089"/>
      <c r="AC187" s="2089"/>
      <c r="AD187" s="2089"/>
      <c r="AE187" s="2089"/>
      <c r="AF187" s="25"/>
      <c r="AH187" s="25"/>
      <c r="AJ187" s="3"/>
      <c r="AK187" s="3"/>
      <c r="AL187" s="3"/>
      <c r="AM187" s="680"/>
      <c r="AN187" s="680"/>
      <c r="AO187" s="680"/>
      <c r="AP187" s="680"/>
      <c r="AQ187" s="680"/>
      <c r="AR187" s="680"/>
      <c r="AS187" s="680"/>
      <c r="AT187" s="680"/>
      <c r="AU187" s="680"/>
      <c r="AV187" s="680"/>
      <c r="AW187" s="680"/>
      <c r="AX187" s="680"/>
      <c r="AY187" s="680"/>
      <c r="BN187" s="36" t="s">
        <v>238</v>
      </c>
      <c r="BT187" s="12" t="s">
        <v>68</v>
      </c>
    </row>
    <row r="188" spans="1:96" ht="12.75">
      <c r="A188" s="25"/>
      <c r="C188" s="45"/>
      <c r="D188" s="25"/>
      <c r="E188" s="2090"/>
      <c r="F188" s="2090"/>
      <c r="G188" s="2090"/>
      <c r="H188" s="2090"/>
      <c r="I188" s="2090"/>
      <c r="J188" s="2090"/>
      <c r="K188" s="2090"/>
      <c r="L188" s="2090"/>
      <c r="M188" s="2090"/>
      <c r="N188" s="2090"/>
      <c r="O188" s="2090"/>
      <c r="P188" s="2090"/>
      <c r="Q188" s="2090"/>
      <c r="R188" s="2090"/>
      <c r="S188" s="2090"/>
      <c r="T188" s="2090"/>
      <c r="U188" s="2090"/>
      <c r="V188" s="2090"/>
      <c r="W188" s="2090"/>
      <c r="X188" s="2090"/>
      <c r="Y188" s="2090"/>
      <c r="Z188" s="2090"/>
      <c r="AA188" s="2090"/>
      <c r="AB188" s="2090"/>
      <c r="AC188" s="2090"/>
      <c r="AD188" s="2090"/>
      <c r="AE188" s="2090"/>
      <c r="AF188" s="25"/>
      <c r="AH188" s="25"/>
      <c r="AJ188" s="3"/>
      <c r="AK188" s="3"/>
      <c r="AL188" s="3"/>
      <c r="AM188" s="680"/>
      <c r="AN188" s="680"/>
      <c r="AO188" s="680"/>
      <c r="AP188" s="680"/>
      <c r="AQ188" s="680"/>
      <c r="AR188" s="680"/>
      <c r="AS188" s="680"/>
      <c r="AT188" s="680"/>
      <c r="AU188" s="680"/>
      <c r="AV188" s="680"/>
      <c r="AW188" s="680"/>
      <c r="AX188" s="680"/>
      <c r="AY188" s="680"/>
      <c r="BN188" s="36" t="s">
        <v>240</v>
      </c>
      <c r="BT188" s="12" t="s">
        <v>69</v>
      </c>
    </row>
    <row r="189" spans="1:96" ht="12.75">
      <c r="A189" s="25"/>
      <c r="C189" s="45"/>
      <c r="D189" s="25" t="s">
        <v>614</v>
      </c>
      <c r="E189" s="25"/>
      <c r="I189" s="2040" t="s">
        <v>70</v>
      </c>
      <c r="J189" s="2040"/>
      <c r="K189" s="2040"/>
      <c r="L189" s="2040"/>
      <c r="M189" s="2040"/>
      <c r="N189" s="2040"/>
      <c r="O189" s="2040"/>
      <c r="P189" s="2040"/>
      <c r="Q189" s="25" t="s">
        <v>616</v>
      </c>
      <c r="T189" s="2040" t="s">
        <v>70</v>
      </c>
      <c r="U189" s="2040"/>
      <c r="V189" s="2040"/>
      <c r="W189" s="2040"/>
      <c r="X189" s="2040"/>
      <c r="Y189" s="2040"/>
      <c r="Z189" s="2040"/>
      <c r="AA189" s="2040"/>
      <c r="AB189" s="2040"/>
      <c r="AC189" s="2040"/>
      <c r="AD189" s="2040"/>
      <c r="AE189" s="2040"/>
      <c r="AH189" s="25"/>
      <c r="AJ189" s="3"/>
      <c r="AK189" s="3"/>
      <c r="AL189" s="3"/>
      <c r="AM189" s="680"/>
      <c r="AN189" s="680"/>
      <c r="AO189" s="680"/>
      <c r="AP189" s="680"/>
      <c r="AQ189" s="680"/>
      <c r="AR189" s="680"/>
      <c r="AS189" s="680"/>
      <c r="AT189" s="680"/>
      <c r="AU189" s="680"/>
      <c r="AV189" s="680"/>
      <c r="AW189" s="680"/>
      <c r="AX189" s="680"/>
      <c r="AY189" s="680"/>
      <c r="BC189" s="718" t="s">
        <v>315</v>
      </c>
      <c r="BH189" s="58" t="s">
        <v>625</v>
      </c>
      <c r="BN189" s="36" t="s">
        <v>241</v>
      </c>
      <c r="BT189" s="12" t="s">
        <v>70</v>
      </c>
    </row>
    <row r="190" spans="1:96" ht="12.75">
      <c r="A190" s="25"/>
      <c r="C190" s="46"/>
      <c r="D190" s="25" t="s">
        <v>617</v>
      </c>
      <c r="E190" s="25"/>
      <c r="F190" s="25"/>
      <c r="G190" s="25"/>
      <c r="I190" s="2032">
        <v>92507</v>
      </c>
      <c r="J190" s="2032"/>
      <c r="K190" s="2032"/>
      <c r="L190" s="2032"/>
      <c r="M190" s="2032"/>
      <c r="N190" s="2032"/>
      <c r="O190" s="25" t="s">
        <v>619</v>
      </c>
      <c r="P190" s="25"/>
      <c r="Q190" s="25"/>
      <c r="R190" s="25"/>
      <c r="S190" s="25"/>
      <c r="T190" s="2228" t="s">
        <v>2526</v>
      </c>
      <c r="U190" s="2228"/>
      <c r="V190" s="2228"/>
      <c r="W190" s="2228"/>
      <c r="X190" s="2228"/>
      <c r="Y190" s="2228"/>
      <c r="Z190" s="2228"/>
      <c r="AA190" s="2228"/>
      <c r="AB190" s="2228"/>
      <c r="AC190" s="2228"/>
      <c r="AD190" s="2228"/>
      <c r="AE190" s="2228"/>
      <c r="AF190" s="25"/>
      <c r="AH190" s="25"/>
      <c r="AJ190" s="3"/>
      <c r="AK190" s="3"/>
      <c r="AL190" s="3"/>
      <c r="AM190" s="680"/>
      <c r="AN190" s="680"/>
      <c r="AO190" s="680"/>
      <c r="AP190" s="680"/>
      <c r="AQ190" s="680"/>
      <c r="AR190" s="680"/>
      <c r="AS190" s="680"/>
      <c r="AT190" s="680"/>
      <c r="AU190" s="680"/>
      <c r="AV190" s="680"/>
      <c r="AW190" s="680"/>
      <c r="AX190" s="680"/>
      <c r="AY190" s="680"/>
      <c r="BC190" s="718" t="s">
        <v>1153</v>
      </c>
      <c r="BH190" s="718" t="s">
        <v>1153</v>
      </c>
      <c r="BN190" s="36" t="s">
        <v>669</v>
      </c>
      <c r="BT190" s="12" t="s">
        <v>71</v>
      </c>
    </row>
    <row r="191" spans="1:96" ht="12.75">
      <c r="A191" s="25"/>
      <c r="C191" s="46"/>
      <c r="D191" s="25" t="s">
        <v>494</v>
      </c>
      <c r="E191" s="25"/>
      <c r="F191" s="25"/>
      <c r="G191" s="25"/>
      <c r="H191" s="25"/>
      <c r="I191" s="25"/>
      <c r="J191" s="25"/>
      <c r="K191" s="25"/>
      <c r="L191" s="25"/>
      <c r="M191" s="25"/>
      <c r="N191" s="2089" t="s">
        <v>2525</v>
      </c>
      <c r="O191" s="2089"/>
      <c r="P191" s="2089"/>
      <c r="Q191" s="2089"/>
      <c r="R191" s="2089"/>
      <c r="S191" s="2089"/>
      <c r="T191" s="2089"/>
      <c r="U191" s="2089"/>
      <c r="V191" s="2089"/>
      <c r="W191" s="2089"/>
      <c r="X191" s="2089"/>
      <c r="Y191" s="2089"/>
      <c r="Z191" s="2089"/>
      <c r="AA191" s="2089"/>
      <c r="AB191" s="2089"/>
      <c r="AC191" s="2089"/>
      <c r="AD191" s="2089"/>
      <c r="AE191" s="2089"/>
      <c r="AF191" s="25"/>
      <c r="AH191" s="25"/>
      <c r="AJ191" s="3"/>
      <c r="AK191" s="3"/>
      <c r="AL191" s="3"/>
      <c r="AM191" s="680"/>
      <c r="AN191" s="680"/>
      <c r="AO191" s="680"/>
      <c r="AP191" s="680"/>
      <c r="AQ191" s="680"/>
      <c r="AR191" s="680"/>
      <c r="AS191" s="680"/>
      <c r="AT191" s="680"/>
      <c r="AU191" s="680"/>
      <c r="AV191" s="680"/>
      <c r="AW191" s="680"/>
      <c r="AX191" s="680"/>
      <c r="AY191" s="680"/>
      <c r="BC191" s="718" t="s">
        <v>1152</v>
      </c>
      <c r="BH191" s="718" t="s">
        <v>1152</v>
      </c>
      <c r="BN191" s="36" t="s">
        <v>725</v>
      </c>
      <c r="BT191" s="12" t="s">
        <v>767</v>
      </c>
    </row>
    <row r="192" spans="1:96" ht="12.75">
      <c r="A192" s="25"/>
      <c r="C192" s="46"/>
      <c r="D192" s="25"/>
      <c r="E192" s="25"/>
      <c r="F192" s="25"/>
      <c r="G192" s="25"/>
      <c r="H192" s="25"/>
      <c r="I192" s="25"/>
      <c r="J192" s="25"/>
      <c r="K192" s="25"/>
      <c r="L192" s="25"/>
      <c r="M192" s="170"/>
      <c r="N192" s="2090"/>
      <c r="O192" s="2090"/>
      <c r="P192" s="2090"/>
      <c r="Q192" s="2090"/>
      <c r="R192" s="2090"/>
      <c r="S192" s="2090"/>
      <c r="T192" s="2090"/>
      <c r="U192" s="2090"/>
      <c r="V192" s="2090"/>
      <c r="W192" s="2090"/>
      <c r="X192" s="2090"/>
      <c r="Y192" s="2090"/>
      <c r="Z192" s="2090"/>
      <c r="AA192" s="2090"/>
      <c r="AB192" s="2090"/>
      <c r="AC192" s="2090"/>
      <c r="AD192" s="2090"/>
      <c r="AE192" s="2090"/>
      <c r="AF192" s="25"/>
      <c r="AH192" s="25"/>
      <c r="AJ192" s="3"/>
      <c r="AK192" s="3"/>
      <c r="AL192" s="3"/>
      <c r="AM192" s="680"/>
      <c r="AN192" s="680"/>
      <c r="AO192" s="680"/>
      <c r="AP192" s="680"/>
      <c r="AQ192" s="680"/>
      <c r="AR192" s="680"/>
      <c r="AS192" s="680"/>
      <c r="AT192" s="680"/>
      <c r="AU192" s="680"/>
      <c r="AV192" s="680"/>
      <c r="AW192" s="680"/>
      <c r="AX192" s="680"/>
      <c r="AY192" s="680"/>
      <c r="BC192" s="718" t="s">
        <v>1155</v>
      </c>
      <c r="BH192" s="58" t="s">
        <v>1974</v>
      </c>
      <c r="BN192" s="36" t="s">
        <v>726</v>
      </c>
      <c r="BT192" s="12" t="s">
        <v>768</v>
      </c>
    </row>
    <row r="193" spans="1:96" ht="12.75">
      <c r="A193" s="25"/>
      <c r="B193" s="718"/>
      <c r="C193" s="46"/>
      <c r="D193" s="686" t="s">
        <v>2011</v>
      </c>
      <c r="E193" s="25"/>
      <c r="F193" s="25"/>
      <c r="G193" s="25"/>
      <c r="H193" s="25"/>
      <c r="I193" s="25"/>
      <c r="J193" s="25"/>
      <c r="K193" s="25"/>
      <c r="L193" s="25"/>
      <c r="M193" s="170"/>
      <c r="N193" s="1517"/>
      <c r="O193" s="1517"/>
      <c r="P193" s="1517"/>
      <c r="Q193" s="1517"/>
      <c r="R193" s="1517"/>
      <c r="S193" s="1517"/>
      <c r="T193" s="2221" t="s">
        <v>2527</v>
      </c>
      <c r="U193" s="2221"/>
      <c r="V193" s="2221"/>
      <c r="W193" s="2221"/>
      <c r="X193" s="2221"/>
      <c r="Y193" s="2221"/>
      <c r="Z193" s="2221"/>
      <c r="AA193" s="2221"/>
      <c r="AB193" s="2221"/>
      <c r="AC193" s="2221"/>
      <c r="AD193" s="2221"/>
      <c r="AE193" s="2221"/>
      <c r="AF193" s="2221"/>
      <c r="AG193" s="2221"/>
      <c r="AH193" s="2221"/>
      <c r="AI193" s="2221"/>
      <c r="AJ193" s="680"/>
      <c r="AK193" s="680"/>
      <c r="AL193" s="680"/>
      <c r="AM193" s="680"/>
      <c r="AN193" s="680"/>
      <c r="AO193" s="680"/>
      <c r="AP193" s="680"/>
      <c r="AQ193" s="680"/>
      <c r="AR193" s="680"/>
      <c r="AS193" s="680"/>
      <c r="AT193" s="680"/>
      <c r="AU193" s="680"/>
      <c r="AV193" s="680"/>
      <c r="AW193" s="680"/>
      <c r="AX193" s="680"/>
      <c r="AY193" s="680"/>
      <c r="BC193" s="718" t="s">
        <v>1154</v>
      </c>
      <c r="BH193" s="58" t="s">
        <v>1975</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2055" t="s">
        <v>577</v>
      </c>
      <c r="U194" s="2055"/>
      <c r="W194" s="25" t="s">
        <v>721</v>
      </c>
      <c r="X194" s="25"/>
      <c r="Y194" s="25"/>
      <c r="Z194" s="25"/>
      <c r="AA194" s="25"/>
      <c r="AB194" s="25"/>
      <c r="AC194" s="25"/>
      <c r="AD194" s="25"/>
      <c r="AE194" s="25"/>
      <c r="AF194" s="25"/>
      <c r="AG194" s="25"/>
      <c r="AH194" s="2055">
        <v>41</v>
      </c>
      <c r="AI194" s="2055"/>
      <c r="AJ194" s="3"/>
      <c r="AK194" s="3"/>
      <c r="AL194" s="3"/>
      <c r="AM194" s="680"/>
      <c r="AN194" s="680"/>
      <c r="AO194" s="680"/>
      <c r="AP194" s="680"/>
      <c r="AQ194" s="680"/>
      <c r="AR194" s="680"/>
      <c r="AS194" s="680"/>
      <c r="AT194" s="680"/>
      <c r="AU194" s="680"/>
      <c r="AV194" s="680"/>
      <c r="AW194" s="680"/>
      <c r="AX194" s="680"/>
      <c r="AY194" s="680"/>
      <c r="BC194" s="718" t="s">
        <v>1632</v>
      </c>
      <c r="BN194" s="36" t="s">
        <v>728</v>
      </c>
      <c r="BT194" s="12" t="s">
        <v>770</v>
      </c>
    </row>
    <row r="195" spans="1:96" s="718" customFormat="1" ht="12.75">
      <c r="A195" s="25"/>
      <c r="B195" s="12"/>
      <c r="C195" s="46"/>
      <c r="D195" s="25" t="s">
        <v>403</v>
      </c>
      <c r="E195" s="25"/>
      <c r="F195" s="25"/>
      <c r="G195" s="25"/>
      <c r="H195" s="25"/>
      <c r="I195" s="25"/>
      <c r="J195" s="25"/>
      <c r="K195" s="25"/>
      <c r="L195" s="25"/>
      <c r="M195" s="25"/>
      <c r="N195" s="25"/>
      <c r="O195" s="25"/>
      <c r="P195" s="25"/>
      <c r="Q195" s="25"/>
      <c r="R195" s="25"/>
      <c r="S195" s="12"/>
      <c r="T195" s="2063" t="s">
        <v>577</v>
      </c>
      <c r="U195" s="2063"/>
      <c r="V195" s="12"/>
      <c r="W195" s="25" t="s">
        <v>722</v>
      </c>
      <c r="X195" s="25"/>
      <c r="Y195" s="25"/>
      <c r="Z195" s="25"/>
      <c r="AA195" s="25"/>
      <c r="AB195" s="25"/>
      <c r="AC195" s="25"/>
      <c r="AD195" s="25"/>
      <c r="AE195" s="25"/>
      <c r="AF195" s="25"/>
      <c r="AG195" s="25"/>
      <c r="AH195" s="2055">
        <v>61</v>
      </c>
      <c r="AI195" s="2055"/>
      <c r="AJ195" s="3"/>
      <c r="AK195" s="3"/>
      <c r="AL195" s="3"/>
      <c r="AM195" s="680"/>
      <c r="AN195" s="680"/>
      <c r="AO195" s="680"/>
      <c r="AP195" s="680"/>
      <c r="AQ195" s="680"/>
      <c r="AR195" s="680"/>
      <c r="AS195" s="680"/>
      <c r="AT195" s="680"/>
      <c r="AU195" s="680"/>
      <c r="AV195" s="680"/>
      <c r="AW195" s="680"/>
      <c r="AX195" s="680"/>
      <c r="AY195" s="680"/>
      <c r="BC195" s="718" t="s">
        <v>2382</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063" t="s">
        <v>705</v>
      </c>
      <c r="U196" s="2063"/>
      <c r="W196" s="25" t="s">
        <v>723</v>
      </c>
      <c r="X196" s="25"/>
      <c r="Y196" s="25"/>
      <c r="Z196" s="25"/>
      <c r="AA196" s="25"/>
      <c r="AB196" s="25"/>
      <c r="AC196" s="25"/>
      <c r="AD196" s="25"/>
      <c r="AE196" s="25"/>
      <c r="AF196" s="25"/>
      <c r="AG196" s="25"/>
      <c r="AH196" s="2055">
        <v>31</v>
      </c>
      <c r="AI196" s="2055"/>
      <c r="AJ196" s="3"/>
      <c r="AK196" s="3"/>
      <c r="AL196" s="3"/>
      <c r="AM196" s="680"/>
      <c r="AN196" s="680"/>
      <c r="AO196" s="680"/>
      <c r="AP196" s="680"/>
      <c r="AQ196" s="680"/>
      <c r="AR196" s="680"/>
      <c r="AS196" s="680"/>
      <c r="AT196" s="680"/>
      <c r="AU196" s="680"/>
      <c r="AV196" s="680"/>
      <c r="AW196" s="680"/>
      <c r="AX196" s="680"/>
      <c r="AY196" s="680"/>
      <c r="BN196" s="36" t="s">
        <v>248</v>
      </c>
      <c r="BT196" s="12" t="s">
        <v>72</v>
      </c>
    </row>
    <row r="197" spans="1:96" ht="12.75" customHeight="1">
      <c r="A197" s="25"/>
      <c r="B197" s="718"/>
      <c r="C197" s="46"/>
      <c r="D197" s="239" t="s">
        <v>2003</v>
      </c>
      <c r="E197" s="25"/>
      <c r="F197" s="25"/>
      <c r="G197" s="25"/>
      <c r="H197" s="25"/>
      <c r="I197" s="25"/>
      <c r="J197" s="25"/>
      <c r="K197" s="25"/>
      <c r="L197" s="25"/>
      <c r="M197" s="25"/>
      <c r="N197" s="25"/>
      <c r="O197" s="25"/>
      <c r="P197" s="25"/>
      <c r="Q197" s="25"/>
      <c r="R197" s="25"/>
      <c r="S197" s="718"/>
      <c r="T197" s="2063"/>
      <c r="U197" s="2063"/>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315</v>
      </c>
      <c r="BD197" s="679"/>
      <c r="BN197" s="36" t="s">
        <v>249</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55" t="s">
        <v>705</v>
      </c>
      <c r="Z198" s="2055"/>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939</v>
      </c>
      <c r="BD198" s="679"/>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938</v>
      </c>
      <c r="BD199" s="716"/>
      <c r="BE199" s="21"/>
      <c r="BF199" s="21"/>
      <c r="BN199" s="36" t="s">
        <v>736</v>
      </c>
      <c r="BO199" s="718"/>
      <c r="BP199" s="718"/>
      <c r="BQ199" s="718"/>
      <c r="BR199" s="718"/>
      <c r="BS199" s="718"/>
      <c r="BT199" s="54" t="s">
        <v>197</v>
      </c>
      <c r="BU199" s="718"/>
      <c r="BV199" s="53"/>
      <c r="CR199" s="112"/>
    </row>
    <row r="200" spans="1:96" s="51" customFormat="1" ht="12.75" customHeight="1">
      <c r="A200" s="25"/>
      <c r="B200" s="12"/>
      <c r="C200" s="46"/>
      <c r="D200" s="332" t="s">
        <v>994</v>
      </c>
      <c r="E200" s="25"/>
      <c r="F200" s="25"/>
      <c r="G200" s="25"/>
      <c r="H200" s="25"/>
      <c r="I200" s="25"/>
      <c r="J200" s="25"/>
      <c r="K200" s="25"/>
      <c r="L200" s="25"/>
      <c r="M200" s="25"/>
      <c r="N200" s="25"/>
      <c r="O200" s="25"/>
      <c r="P200" s="25"/>
      <c r="Q200" s="25"/>
      <c r="R200" s="25"/>
      <c r="S200" s="39"/>
      <c r="T200" s="234"/>
      <c r="U200" s="234"/>
      <c r="V200" s="39"/>
      <c r="W200" s="332" t="s">
        <v>993</v>
      </c>
      <c r="X200" s="25"/>
      <c r="Y200" s="25"/>
      <c r="Z200" s="25"/>
      <c r="AA200" s="25"/>
      <c r="AB200" s="25"/>
      <c r="AC200" s="25"/>
      <c r="AD200" s="25"/>
      <c r="AE200" s="25"/>
      <c r="AF200" s="25"/>
      <c r="AG200" s="3"/>
      <c r="AH200" s="234"/>
      <c r="AI200" s="234"/>
      <c r="AJ200" s="3"/>
      <c r="AK200" s="3"/>
      <c r="AL200" s="3"/>
      <c r="AM200" s="680"/>
      <c r="AN200" s="680"/>
      <c r="AO200" s="680"/>
      <c r="AP200" s="680"/>
      <c r="AQ200" s="680"/>
      <c r="AR200" s="680"/>
      <c r="AS200" s="680"/>
      <c r="AT200" s="680"/>
      <c r="AU200" s="680"/>
      <c r="AV200" s="680"/>
      <c r="AW200" s="680"/>
      <c r="AX200" s="680"/>
      <c r="AY200" s="680"/>
      <c r="AZ200" s="52"/>
      <c r="BA200" s="52"/>
      <c r="BB200" s="21"/>
      <c r="BC200" s="685" t="s">
        <v>1178</v>
      </c>
      <c r="BD200" s="682"/>
      <c r="BE200" s="21"/>
      <c r="BF200" s="21"/>
      <c r="BN200" s="36" t="s">
        <v>737</v>
      </c>
      <c r="BO200" s="12"/>
      <c r="BP200" s="12"/>
      <c r="BQ200" s="12"/>
      <c r="BR200" s="12"/>
      <c r="BS200" s="12"/>
      <c r="BT200" s="54" t="s">
        <v>198</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645</v>
      </c>
      <c r="BD201" s="682"/>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1179</v>
      </c>
      <c r="BD202" s="682"/>
      <c r="BN202" s="36" t="s">
        <v>739</v>
      </c>
      <c r="BO202" s="51"/>
      <c r="BP202" s="54"/>
      <c r="BQ202" s="54"/>
      <c r="BR202" s="54"/>
      <c r="BS202" s="54"/>
      <c r="BT202" s="55" t="s">
        <v>200</v>
      </c>
    </row>
    <row r="203" spans="1:96" ht="12.75" customHeight="1">
      <c r="A203" s="25"/>
      <c r="C203" s="25"/>
      <c r="D203" s="2042" t="s">
        <v>402</v>
      </c>
      <c r="E203" s="2042"/>
      <c r="F203" s="2042"/>
      <c r="G203" s="2042"/>
      <c r="H203" s="2042"/>
      <c r="I203" s="2042"/>
      <c r="J203" s="2042"/>
      <c r="K203" s="2042"/>
      <c r="L203" s="2042"/>
      <c r="M203" s="2042"/>
      <c r="P203" s="2224">
        <f>M26</f>
        <v>1713711.6</v>
      </c>
      <c r="Q203" s="2219"/>
      <c r="R203" s="2219"/>
      <c r="S203" s="2219"/>
      <c r="T203" s="2219"/>
      <c r="U203" s="2219"/>
      <c r="V203" s="25"/>
      <c r="W203" s="25"/>
      <c r="X203" s="25"/>
      <c r="Y203" s="25"/>
      <c r="Z203" s="2217" t="s">
        <v>2626</v>
      </c>
      <c r="AA203" s="2217"/>
      <c r="AB203" s="2217"/>
      <c r="AC203" s="2217"/>
      <c r="AD203" s="2217"/>
      <c r="AE203" s="2217"/>
      <c r="AF203" s="2217"/>
      <c r="AG203" s="25"/>
      <c r="AH203" s="25"/>
      <c r="AI203" s="25"/>
      <c r="AJ203" s="3"/>
      <c r="AK203" s="3"/>
      <c r="AL203" s="3"/>
      <c r="AM203" s="680"/>
      <c r="AN203" s="680"/>
      <c r="AO203" s="680"/>
      <c r="AP203" s="680"/>
      <c r="AQ203" s="680"/>
      <c r="AR203" s="680"/>
      <c r="AS203" s="680"/>
      <c r="AT203" s="680"/>
      <c r="AU203" s="680"/>
      <c r="AV203" s="680"/>
      <c r="AW203" s="680"/>
      <c r="AX203" s="680"/>
      <c r="AY203" s="680"/>
      <c r="BC203" s="680" t="s">
        <v>1180</v>
      </c>
      <c r="BD203" s="679"/>
      <c r="BN203" s="36" t="s">
        <v>740</v>
      </c>
      <c r="BO203" s="51"/>
      <c r="BP203" s="54"/>
      <c r="BQ203" s="54"/>
      <c r="BR203" s="54"/>
      <c r="BS203" s="55"/>
      <c r="BT203" s="55" t="s">
        <v>201</v>
      </c>
    </row>
    <row r="204" spans="1:96" ht="12.75" customHeight="1">
      <c r="A204" s="25"/>
      <c r="C204" s="45"/>
      <c r="D204" s="2222" t="s">
        <v>1475</v>
      </c>
      <c r="E204" s="2042"/>
      <c r="F204" s="2042"/>
      <c r="G204" s="2042"/>
      <c r="H204" s="2042"/>
      <c r="I204" s="2042"/>
      <c r="J204" s="2042"/>
      <c r="K204" s="2042"/>
      <c r="L204" s="2042"/>
      <c r="M204" s="2042"/>
      <c r="P204" s="2219">
        <f>M27</f>
        <v>0</v>
      </c>
      <c r="Q204" s="2219"/>
      <c r="R204" s="2219"/>
      <c r="S204" s="2219"/>
      <c r="T204" s="2219"/>
      <c r="U204" s="2219"/>
      <c r="V204" s="47"/>
      <c r="W204" s="58" t="s">
        <v>2216</v>
      </c>
      <c r="Z204" s="2217"/>
      <c r="AA204" s="2217"/>
      <c r="AB204" s="2217"/>
      <c r="AC204" s="2217"/>
      <c r="AD204" s="2217"/>
      <c r="AE204" s="2217"/>
      <c r="AF204" s="2217"/>
      <c r="AG204" s="25" t="s">
        <v>1476</v>
      </c>
      <c r="AH204" s="25"/>
      <c r="AI204" s="25"/>
      <c r="AJ204" s="25"/>
      <c r="AK204" s="25"/>
      <c r="AL204" s="25"/>
      <c r="AM204" s="25"/>
      <c r="AN204" s="25"/>
      <c r="AO204" s="25"/>
      <c r="AP204" s="2055" t="s">
        <v>705</v>
      </c>
      <c r="AQ204" s="2055"/>
      <c r="AR204" s="680"/>
      <c r="AS204" s="680"/>
      <c r="AT204" s="680"/>
      <c r="AU204" s="680"/>
      <c r="AV204" s="680"/>
      <c r="AW204" s="680"/>
      <c r="AX204" s="680"/>
      <c r="AY204" s="680"/>
      <c r="BC204" s="683" t="s">
        <v>644</v>
      </c>
      <c r="BD204" s="679"/>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8"/>
      <c r="AA205" s="2218"/>
      <c r="AB205" s="2218"/>
      <c r="AC205" s="2218"/>
      <c r="AD205" s="2218"/>
      <c r="AE205" s="2218"/>
      <c r="AF205" s="2218"/>
      <c r="AH205" s="25"/>
      <c r="AJ205" s="3"/>
      <c r="AK205" s="3"/>
      <c r="AL205" s="3"/>
      <c r="AM205" s="680"/>
      <c r="AN205" s="680"/>
      <c r="AO205" s="680"/>
      <c r="AP205" s="680"/>
      <c r="AQ205" s="680"/>
      <c r="AR205" s="680"/>
      <c r="AS205" s="680"/>
      <c r="AT205" s="680"/>
      <c r="AU205" s="680"/>
      <c r="AV205" s="680"/>
      <c r="AW205" s="680"/>
      <c r="AX205" s="680"/>
      <c r="AY205" s="680"/>
      <c r="BC205" s="683" t="s">
        <v>1137</v>
      </c>
      <c r="BD205" s="679"/>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1181</v>
      </c>
      <c r="BD206" s="679"/>
      <c r="BN206" s="36" t="s">
        <v>115</v>
      </c>
      <c r="BT206" s="55" t="s">
        <v>203</v>
      </c>
      <c r="BU206" s="56"/>
    </row>
    <row r="207" spans="1:96" ht="12.75">
      <c r="A207" s="25"/>
      <c r="C207" s="45"/>
      <c r="D207" s="2195" t="s">
        <v>2528</v>
      </c>
      <c r="E207" s="2195"/>
      <c r="F207" s="2195"/>
      <c r="G207" s="2195"/>
      <c r="H207" s="2195"/>
      <c r="I207" s="2195"/>
      <c r="J207" s="2195"/>
      <c r="K207" s="2195"/>
      <c r="L207" s="2195"/>
      <c r="M207" s="219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1425</v>
      </c>
      <c r="BD207" s="679"/>
      <c r="BN207" s="36" t="s">
        <v>48</v>
      </c>
      <c r="BT207" s="55" t="s">
        <v>204</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1182</v>
      </c>
      <c r="BD208" s="679"/>
      <c r="BN208" s="36" t="s">
        <v>49</v>
      </c>
      <c r="BT208" s="55" t="s">
        <v>205</v>
      </c>
    </row>
    <row r="209" spans="1:96" ht="12.75">
      <c r="A209" s="50" t="s">
        <v>624</v>
      </c>
      <c r="C209" s="50" t="s">
        <v>405</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695</v>
      </c>
      <c r="BD209" s="679"/>
      <c r="BN209" s="36" t="s">
        <v>50</v>
      </c>
      <c r="BT209" s="55" t="s">
        <v>206</v>
      </c>
    </row>
    <row r="210" spans="1:96" ht="12.75">
      <c r="C210" s="45"/>
      <c r="D210" s="2195" t="s">
        <v>1153</v>
      </c>
      <c r="E210" s="2195"/>
      <c r="F210" s="2195"/>
      <c r="G210" s="2195"/>
      <c r="H210" s="2195"/>
      <c r="I210" s="2195"/>
      <c r="J210" s="2195"/>
      <c r="K210" s="2195"/>
      <c r="L210" s="2195"/>
      <c r="M210" s="2195"/>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207</v>
      </c>
    </row>
    <row r="211" spans="1:96" ht="12.75">
      <c r="A211" s="718"/>
      <c r="B211" s="718"/>
      <c r="C211" s="45"/>
      <c r="D211" s="718" t="s">
        <v>1461</v>
      </c>
      <c r="E211" s="718"/>
      <c r="F211" s="718"/>
      <c r="G211" s="718"/>
      <c r="H211" s="718"/>
      <c r="I211" s="718"/>
      <c r="J211" s="718"/>
      <c r="K211" s="718"/>
      <c r="L211" s="718"/>
      <c r="M211" s="718"/>
      <c r="N211" s="718"/>
      <c r="O211" s="718"/>
      <c r="P211" s="718"/>
      <c r="Q211" s="718"/>
      <c r="R211" s="718"/>
      <c r="S211" s="718"/>
      <c r="T211" s="718"/>
      <c r="U211" s="718"/>
      <c r="V211" s="718"/>
      <c r="W211" s="718"/>
      <c r="X211" s="718"/>
      <c r="Y211" s="2055"/>
      <c r="Z211" s="2055"/>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1973</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315</v>
      </c>
      <c r="BN212" s="36" t="s">
        <v>52</v>
      </c>
      <c r="BT212" s="55" t="s">
        <v>208</v>
      </c>
    </row>
    <row r="213" spans="1:96" s="718" customFormat="1" ht="12.75">
      <c r="D213" s="2103" t="s">
        <v>625</v>
      </c>
      <c r="E213" s="2103"/>
      <c r="F213" s="2103"/>
      <c r="G213" s="2103"/>
      <c r="H213" s="2103"/>
      <c r="I213" s="2103"/>
      <c r="J213" s="2103"/>
      <c r="K213" s="2103"/>
      <c r="L213" s="2103"/>
      <c r="M213" s="2103"/>
      <c r="N213" s="2103"/>
      <c r="O213" s="2103"/>
      <c r="P213" s="2103"/>
      <c r="Q213" s="2103"/>
      <c r="R213" s="2103"/>
      <c r="S213" s="2103"/>
      <c r="T213" s="2103"/>
      <c r="U213" s="2103"/>
      <c r="V213" s="2103"/>
      <c r="W213" s="2103"/>
      <c r="X213" s="2103"/>
      <c r="Y213" s="2103"/>
      <c r="Z213" s="2103"/>
      <c r="AG213" s="680"/>
      <c r="AJ213" s="680"/>
      <c r="AK213" s="680"/>
      <c r="AL213" s="680"/>
      <c r="AM213" s="680"/>
      <c r="AN213" s="680"/>
      <c r="AO213" s="680"/>
      <c r="AP213" s="680"/>
      <c r="AQ213" s="680"/>
      <c r="AR213" s="680"/>
      <c r="AS213" s="680"/>
      <c r="AT213" s="680"/>
      <c r="AU213" s="680"/>
      <c r="AV213" s="680"/>
      <c r="AW213" s="680"/>
      <c r="AX213" s="680"/>
      <c r="AY213" s="680"/>
      <c r="BC213" s="12" t="s">
        <v>558</v>
      </c>
      <c r="BN213" s="36" t="s">
        <v>53</v>
      </c>
      <c r="BT213" s="55" t="s">
        <v>209</v>
      </c>
      <c r="CR213" s="25"/>
    </row>
    <row r="214" spans="1:96" ht="12.75">
      <c r="A214" s="718"/>
      <c r="B214" s="718"/>
      <c r="C214" s="718"/>
      <c r="D214" s="58" t="s">
        <v>2004</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102"/>
      <c r="AC214" s="2102"/>
      <c r="AD214" s="2102"/>
      <c r="AE214" s="2102"/>
      <c r="AF214" s="2102"/>
      <c r="AG214" s="2102"/>
      <c r="AH214" s="2102"/>
      <c r="AI214" s="2102"/>
      <c r="AJ214" s="2102"/>
      <c r="AK214" s="2102"/>
      <c r="AL214" s="2102"/>
      <c r="AM214" s="46"/>
      <c r="AN214" s="46"/>
      <c r="AO214" s="46"/>
      <c r="AP214" s="46"/>
      <c r="AQ214" s="46"/>
      <c r="AR214" s="46"/>
      <c r="AS214" s="46"/>
      <c r="AT214" s="46"/>
      <c r="AU214" s="46"/>
      <c r="AV214" s="46"/>
      <c r="AW214" s="46"/>
      <c r="AX214" s="46"/>
      <c r="AY214" s="46"/>
      <c r="AZ214" s="718"/>
      <c r="BA214" s="718"/>
      <c r="BC214" s="12" t="s">
        <v>562</v>
      </c>
      <c r="BN214" s="36" t="s">
        <v>334</v>
      </c>
      <c r="BT214" s="55" t="s">
        <v>210</v>
      </c>
    </row>
    <row r="215" spans="1:96" s="718" customFormat="1" ht="12.75" customHeight="1">
      <c r="A215" s="12"/>
      <c r="B215" s="12"/>
      <c r="C215" s="12"/>
      <c r="D215" s="58" t="s">
        <v>2002</v>
      </c>
      <c r="Z215" s="69"/>
      <c r="AB215" s="2102"/>
      <c r="AC215" s="2102"/>
      <c r="AD215" s="2102"/>
      <c r="AE215" s="2102"/>
      <c r="AF215" s="2102"/>
      <c r="AG215" s="2102"/>
      <c r="AH215" s="2102"/>
      <c r="AI215" s="2102"/>
      <c r="AJ215" s="2102"/>
      <c r="AK215" s="2102"/>
      <c r="AL215" s="2102"/>
      <c r="AM215" s="46"/>
      <c r="AN215" s="46"/>
      <c r="AO215" s="46"/>
      <c r="AP215" s="46"/>
      <c r="AQ215" s="46"/>
      <c r="AR215" s="46"/>
      <c r="AS215" s="46"/>
      <c r="AT215" s="46"/>
      <c r="AU215" s="46"/>
      <c r="AV215" s="46"/>
      <c r="AW215" s="46"/>
      <c r="AX215" s="46"/>
      <c r="AY215" s="46"/>
      <c r="BC215" s="39" t="s">
        <v>559</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8" customFormat="1" ht="12.75">
      <c r="A217" s="503" t="s">
        <v>626</v>
      </c>
      <c r="B217" s="39"/>
      <c r="C217" s="503" t="s">
        <v>1434</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560</v>
      </c>
      <c r="CR217" s="25"/>
    </row>
    <row r="218" spans="1:96" ht="12.75">
      <c r="A218" s="50"/>
      <c r="C218" s="50"/>
      <c r="D218" s="7" t="s">
        <v>1085</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561</v>
      </c>
    </row>
    <row r="219" spans="1:96" s="39" customFormat="1" ht="12.75" customHeight="1">
      <c r="A219" s="50"/>
      <c r="B219" s="12"/>
      <c r="C219" s="50"/>
      <c r="D219" s="2195" t="s">
        <v>1179</v>
      </c>
      <c r="E219" s="2195"/>
      <c r="F219" s="2195"/>
      <c r="G219" s="2195"/>
      <c r="H219" s="2195"/>
      <c r="I219" s="2195"/>
      <c r="J219" s="2195"/>
      <c r="K219" s="2195"/>
      <c r="L219" s="2195"/>
      <c r="M219" s="2195"/>
      <c r="N219" s="2195"/>
      <c r="O219" s="2195"/>
      <c r="P219" s="2195"/>
      <c r="Q219" s="2195"/>
      <c r="R219" s="2195"/>
      <c r="S219" s="2195"/>
      <c r="T219" s="2195"/>
      <c r="U219" s="2195"/>
      <c r="V219" s="2195"/>
      <c r="W219" s="2195"/>
      <c r="X219" s="2195"/>
      <c r="Y219" s="2195"/>
      <c r="Z219" s="2195"/>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8"/>
      <c r="BA219" s="238"/>
      <c r="BC219" s="12" t="s">
        <v>394</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307</v>
      </c>
    </row>
    <row r="221" spans="1:96" ht="12.75">
      <c r="A221" s="2086" t="s">
        <v>572</v>
      </c>
      <c r="B221" s="2086"/>
      <c r="C221" s="2086"/>
      <c r="D221" s="2086"/>
      <c r="E221" s="2086"/>
      <c r="F221" s="2086"/>
      <c r="G221" s="2086"/>
      <c r="H221" s="2086"/>
      <c r="I221" s="2086"/>
      <c r="J221" s="2086"/>
      <c r="K221" s="2086"/>
      <c r="L221" s="2086"/>
      <c r="M221" s="2086"/>
      <c r="N221" s="2086"/>
      <c r="O221" s="2086"/>
      <c r="P221" s="2086"/>
      <c r="Q221" s="2086"/>
      <c r="R221" s="2086"/>
      <c r="S221" s="2086"/>
      <c r="T221" s="2086"/>
      <c r="U221" s="2086"/>
      <c r="V221" s="2086"/>
      <c r="W221" s="2086"/>
      <c r="X221" s="2086"/>
      <c r="Y221" s="2086"/>
      <c r="Z221" s="2086"/>
      <c r="AA221" s="2086"/>
      <c r="AB221" s="2086"/>
      <c r="AC221" s="2086"/>
      <c r="AD221" s="2086"/>
      <c r="AE221" s="2086"/>
      <c r="AF221" s="2086"/>
      <c r="AG221" s="2086"/>
      <c r="AH221" s="2086"/>
      <c r="AI221" s="2086"/>
      <c r="AJ221" s="2086"/>
      <c r="AK221" s="2086"/>
      <c r="AL221" s="2086"/>
      <c r="AM221" s="144"/>
      <c r="AN221" s="144"/>
      <c r="AO221" s="144"/>
      <c r="AP221" s="144"/>
      <c r="AQ221" s="144"/>
      <c r="AR221" s="144"/>
      <c r="AS221" s="144"/>
      <c r="AT221" s="144"/>
      <c r="AU221" s="144"/>
      <c r="AV221" s="144"/>
      <c r="AW221" s="144"/>
      <c r="AX221" s="144"/>
      <c r="AY221" s="144"/>
      <c r="BA221" s="58"/>
    </row>
    <row r="222" spans="1:96" ht="13.5" thickBot="1">
      <c r="A222" s="2087"/>
      <c r="B222" s="2087"/>
      <c r="C222" s="2087"/>
      <c r="D222" s="2087"/>
      <c r="E222" s="2087"/>
      <c r="F222" s="2087"/>
      <c r="G222" s="2087"/>
      <c r="H222" s="2087"/>
      <c r="I222" s="2087"/>
      <c r="J222" s="2087"/>
      <c r="K222" s="2087"/>
      <c r="L222" s="2087"/>
      <c r="M222" s="2087"/>
      <c r="N222" s="2087"/>
      <c r="O222" s="2087"/>
      <c r="P222" s="2087"/>
      <c r="Q222" s="2087"/>
      <c r="R222" s="2087"/>
      <c r="S222" s="2087"/>
      <c r="T222" s="2087"/>
      <c r="U222" s="2087"/>
      <c r="V222" s="2087"/>
      <c r="W222" s="2087"/>
      <c r="X222" s="2087"/>
      <c r="Y222" s="2087"/>
      <c r="Z222" s="2087"/>
      <c r="AA222" s="2087"/>
      <c r="AB222" s="2087"/>
      <c r="AC222" s="2087"/>
      <c r="AD222" s="2087"/>
      <c r="AE222" s="2087"/>
      <c r="AF222" s="2087"/>
      <c r="AG222" s="2087"/>
      <c r="AH222" s="2087"/>
      <c r="AI222" s="2087"/>
      <c r="AJ222" s="2087"/>
      <c r="AK222" s="2087"/>
      <c r="AL222" s="208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5" t="s">
        <v>577</v>
      </c>
      <c r="AJ225" s="2055"/>
      <c r="AL225" s="58"/>
      <c r="AM225" s="238"/>
      <c r="AN225" s="238"/>
      <c r="AO225" s="238"/>
      <c r="AP225" s="238"/>
      <c r="AQ225" s="238"/>
      <c r="AR225" s="238"/>
      <c r="AS225" s="238"/>
      <c r="AT225" s="238"/>
      <c r="AU225" s="238"/>
      <c r="AV225" s="238"/>
      <c r="AW225" s="238"/>
      <c r="AX225" s="238"/>
      <c r="AY225" s="238"/>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5" t="s">
        <v>625</v>
      </c>
      <c r="AJ226" s="2055"/>
      <c r="AL226" s="58"/>
      <c r="AM226" s="238"/>
      <c r="AN226" s="238"/>
      <c r="AO226" s="238"/>
      <c r="AP226" s="238"/>
      <c r="AQ226" s="238"/>
      <c r="AR226" s="238"/>
      <c r="AS226" s="238"/>
      <c r="AT226" s="238"/>
      <c r="AU226" s="238"/>
      <c r="AV226" s="238"/>
      <c r="AW226" s="238"/>
      <c r="AX226" s="238"/>
      <c r="AY226" s="238"/>
      <c r="AZ226" s="7"/>
      <c r="BB226" s="381" t="s">
        <v>570</v>
      </c>
      <c r="BG226" s="388">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5" t="s">
        <v>625</v>
      </c>
      <c r="AJ227" s="2055"/>
      <c r="AL227" s="58"/>
      <c r="AM227" s="238"/>
      <c r="AN227" s="238"/>
      <c r="AO227" s="238"/>
      <c r="AP227" s="238"/>
      <c r="AQ227" s="238"/>
      <c r="AR227" s="238"/>
      <c r="AS227" s="238"/>
      <c r="AT227" s="238"/>
      <c r="AU227" s="238"/>
      <c r="AV227" s="238"/>
      <c r="AW227" s="238"/>
      <c r="AX227" s="238"/>
      <c r="AY227" s="238"/>
      <c r="BA227" s="58"/>
      <c r="BB227" s="381" t="s">
        <v>570</v>
      </c>
      <c r="BG227" s="388">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5" t="s">
        <v>625</v>
      </c>
      <c r="AJ228" s="2055"/>
      <c r="AL228" s="58"/>
      <c r="AM228" s="238"/>
      <c r="AN228" s="238"/>
      <c r="AO228" s="238"/>
      <c r="AP228" s="238"/>
      <c r="AQ228" s="238"/>
      <c r="AR228" s="238"/>
      <c r="AS228" s="238"/>
      <c r="AT228" s="238"/>
      <c r="AU228" s="238"/>
      <c r="AV228" s="238"/>
      <c r="AW228" s="238"/>
      <c r="AX228" s="238"/>
      <c r="AY228" s="238"/>
      <c r="AZ228" s="7"/>
      <c r="BA228" s="58"/>
      <c r="BB228" s="382" t="s">
        <v>570</v>
      </c>
      <c r="BG228" s="388">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82" t="s">
        <v>570</v>
      </c>
      <c r="BG229" s="388">
        <f>IF(AND(AND($M$248="for profit",$M$256="nonprofit",$M$264="(select one)")),2,0)</f>
        <v>0</v>
      </c>
      <c r="BO229" s="61"/>
    </row>
    <row r="230" spans="1:69" ht="12.75">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82" t="s">
        <v>570</v>
      </c>
      <c r="BG230" s="387">
        <f>IF(AND(AND($M$248="nonprofit",$M$256="for profit",$M$264="(select one)")),2,0)</f>
        <v>0</v>
      </c>
      <c r="BO230" s="61"/>
    </row>
    <row r="231" spans="1:69" ht="12.75">
      <c r="D231" s="57" t="s">
        <v>502</v>
      </c>
      <c r="E231" s="57"/>
      <c r="F231" s="57"/>
      <c r="G231" s="57"/>
      <c r="H231" s="57"/>
      <c r="I231" s="57"/>
      <c r="J231" s="57"/>
      <c r="K231" s="7"/>
      <c r="M231" s="2229" t="str">
        <f>H16</f>
        <v>Wakeland Entrada LP</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3"/>
      <c r="BG231" s="386"/>
      <c r="BQ231" s="61"/>
    </row>
    <row r="232" spans="1:69" ht="12.75">
      <c r="D232" s="57" t="s">
        <v>90</v>
      </c>
      <c r="E232" s="57"/>
      <c r="F232" s="57"/>
      <c r="G232" s="57"/>
      <c r="H232" s="57"/>
      <c r="I232" s="57"/>
      <c r="J232" s="57"/>
      <c r="K232" s="7"/>
      <c r="M232" s="2043" t="s">
        <v>2529</v>
      </c>
      <c r="N232" s="2195"/>
      <c r="O232" s="2195"/>
      <c r="P232" s="2195"/>
      <c r="Q232" s="2195"/>
      <c r="R232" s="2195"/>
      <c r="S232" s="2195"/>
      <c r="T232" s="2195"/>
      <c r="U232" s="2195"/>
      <c r="V232" s="2195"/>
      <c r="W232" s="2195"/>
      <c r="X232" s="2195"/>
      <c r="Y232" s="2195"/>
      <c r="Z232" s="2195"/>
      <c r="AA232" s="2195"/>
      <c r="AB232" s="2195"/>
      <c r="AC232" s="2195"/>
      <c r="AD232" s="2195"/>
      <c r="AE232" s="2195"/>
      <c r="AZ232" s="7"/>
      <c r="BA232" s="58"/>
      <c r="BB232" s="333" t="s">
        <v>570</v>
      </c>
      <c r="BG232" s="388">
        <f>IF(AND(AND($M$248="nonprofit",$M$256="nonprofit",$M$264="for profit")),2,0)</f>
        <v>0</v>
      </c>
      <c r="BQ232" s="61"/>
    </row>
    <row r="233" spans="1:69" ht="12.75">
      <c r="D233" s="57" t="s">
        <v>614</v>
      </c>
      <c r="E233" s="57"/>
      <c r="M233" s="2043" t="s">
        <v>769</v>
      </c>
      <c r="N233" s="2195"/>
      <c r="O233" s="2195"/>
      <c r="P233" s="2195"/>
      <c r="Q233" s="2195"/>
      <c r="R233" s="2195"/>
      <c r="S233" s="2195"/>
      <c r="T233" s="2195"/>
      <c r="V233" s="59" t="s">
        <v>91</v>
      </c>
      <c r="W233" s="2177" t="s">
        <v>2530</v>
      </c>
      <c r="X233" s="2045"/>
      <c r="Y233" s="57" t="s">
        <v>617</v>
      </c>
      <c r="AC233" s="2195">
        <v>92101</v>
      </c>
      <c r="AD233" s="2195"/>
      <c r="AE233" s="2195"/>
      <c r="BB233" s="333" t="s">
        <v>570</v>
      </c>
      <c r="BG233" s="388">
        <f>IF(AND(AND($M$248="nonprofit",$M$256="for profit",$M$264="nonprofit")),2,0)</f>
        <v>0</v>
      </c>
    </row>
    <row r="234" spans="1:69" ht="12.75">
      <c r="D234" s="60" t="s">
        <v>92</v>
      </c>
      <c r="E234" s="7"/>
      <c r="F234" s="7"/>
      <c r="G234" s="7"/>
      <c r="H234" s="7"/>
      <c r="I234" s="7"/>
      <c r="J234" s="7"/>
      <c r="K234" s="29"/>
      <c r="M234" s="2043" t="s">
        <v>2531</v>
      </c>
      <c r="N234" s="2195"/>
      <c r="O234" s="2195"/>
      <c r="P234" s="2195"/>
      <c r="Q234" s="2195"/>
      <c r="R234" s="2195"/>
      <c r="S234" s="2195"/>
      <c r="T234" s="2195"/>
      <c r="U234" s="2195"/>
      <c r="V234" s="2195"/>
      <c r="W234" s="2195"/>
      <c r="X234" s="2195"/>
      <c r="Y234" s="2195"/>
      <c r="Z234" s="2195"/>
      <c r="AA234" s="2195"/>
      <c r="AB234" s="2195"/>
      <c r="AC234" s="2195"/>
      <c r="AD234" s="2195"/>
      <c r="AE234" s="2195"/>
      <c r="AI234" s="7"/>
      <c r="AJ234" s="7"/>
      <c r="AK234" s="7"/>
      <c r="AL234" s="7"/>
      <c r="AM234" s="130"/>
      <c r="AN234" s="130"/>
      <c r="AO234" s="130"/>
      <c r="AP234" s="130"/>
      <c r="AQ234" s="130"/>
      <c r="AR234" s="130"/>
      <c r="AS234" s="130"/>
      <c r="AT234" s="130"/>
      <c r="AU234" s="130"/>
      <c r="AV234" s="130"/>
      <c r="AW234" s="130"/>
      <c r="AX234" s="130"/>
      <c r="AY234" s="130"/>
      <c r="AZ234" s="7"/>
      <c r="BB234" s="333" t="s">
        <v>570</v>
      </c>
      <c r="BG234" s="387">
        <f>IF(AND(AND($M$248="for profit",$M$256="nonprofit",$M$264="nonprofit")),2,0)</f>
        <v>0</v>
      </c>
      <c r="BO234" s="61"/>
    </row>
    <row r="235" spans="1:69" ht="12.75">
      <c r="D235" s="60" t="s">
        <v>93</v>
      </c>
      <c r="E235" s="7"/>
      <c r="F235" s="7"/>
      <c r="M235" s="2044" t="s">
        <v>2532</v>
      </c>
      <c r="N235" s="2056"/>
      <c r="O235" s="2056"/>
      <c r="P235" s="2056"/>
      <c r="Q235" s="2056"/>
      <c r="R235" s="2056"/>
      <c r="S235" s="7" t="s">
        <v>211</v>
      </c>
      <c r="T235" s="7"/>
      <c r="U235" s="2045"/>
      <c r="V235" s="2045"/>
      <c r="W235" s="2045"/>
      <c r="X235" s="7" t="s">
        <v>94</v>
      </c>
      <c r="Z235" s="2044" t="s">
        <v>625</v>
      </c>
      <c r="AA235" s="2056"/>
      <c r="AB235" s="2056"/>
      <c r="AC235" s="2056"/>
      <c r="AD235" s="2056"/>
      <c r="AE235" s="2056"/>
      <c r="BB235" s="384"/>
      <c r="BG235" s="385"/>
    </row>
    <row r="236" spans="1:69" ht="12.75">
      <c r="D236" s="60" t="s">
        <v>95</v>
      </c>
      <c r="E236" s="7"/>
      <c r="F236" s="7"/>
      <c r="M236" s="2198" t="s">
        <v>2533</v>
      </c>
      <c r="N236" s="2198"/>
      <c r="O236" s="2198"/>
      <c r="P236" s="2198"/>
      <c r="Q236" s="2198"/>
      <c r="R236" s="2198"/>
      <c r="S236" s="2198"/>
      <c r="T236" s="2198"/>
      <c r="U236" s="2198"/>
      <c r="V236" s="2198"/>
      <c r="W236" s="2198"/>
      <c r="X236" s="2198"/>
      <c r="Y236" s="2198"/>
      <c r="Z236" s="2198"/>
      <c r="AA236" s="2198"/>
      <c r="AB236" s="2198"/>
      <c r="AC236" s="2198"/>
      <c r="AD236" s="2198"/>
      <c r="AE236" s="219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2" t="s">
        <v>569</v>
      </c>
      <c r="BG236" s="388">
        <f>IF(AND(AND($M$248="nonprofit",$M$256="nonprofit",$M$264="(select one)")),1,0)</f>
        <v>1</v>
      </c>
    </row>
    <row r="237" spans="1:69" ht="12.75">
      <c r="A237" s="50" t="s">
        <v>620</v>
      </c>
      <c r="C237" s="37" t="s">
        <v>557</v>
      </c>
      <c r="M237" s="2032" t="s">
        <v>560</v>
      </c>
      <c r="N237" s="2032"/>
      <c r="O237" s="2032"/>
      <c r="P237" s="2032"/>
      <c r="Q237" s="2032"/>
      <c r="R237" s="2032"/>
      <c r="S237" s="2032"/>
      <c r="T237" s="2032"/>
      <c r="U237" s="386" t="s">
        <v>974</v>
      </c>
      <c r="V237" s="324"/>
      <c r="W237" s="324"/>
      <c r="X237" s="324"/>
      <c r="Y237" s="324"/>
      <c r="Z237" s="324"/>
      <c r="AA237" s="2212" t="s">
        <v>2544</v>
      </c>
      <c r="AB237" s="2213"/>
      <c r="AC237" s="2213"/>
      <c r="AD237" s="2213"/>
      <c r="AE237" s="2213"/>
      <c r="AF237" s="2213"/>
      <c r="AG237" s="2213"/>
      <c r="AH237" s="2213"/>
      <c r="AI237" s="2213"/>
      <c r="AJ237" s="2213"/>
      <c r="AK237" s="2213"/>
      <c r="AL237" s="58"/>
      <c r="AM237" s="238"/>
      <c r="AN237" s="238"/>
      <c r="AO237" s="238"/>
      <c r="AP237" s="238"/>
      <c r="AQ237" s="238"/>
      <c r="AR237" s="238"/>
      <c r="AS237" s="238"/>
      <c r="AT237" s="238"/>
      <c r="AU237" s="238"/>
      <c r="AV237" s="238"/>
      <c r="AW237" s="238"/>
      <c r="AX237" s="238"/>
      <c r="AY237" s="238"/>
      <c r="BB237" s="382" t="s">
        <v>569</v>
      </c>
      <c r="BG237" s="388">
        <f>IF(AND(AND($M$248="nonprofit",$M$256="nonprofit",$M$264="nonprofit")),1,0)</f>
        <v>0</v>
      </c>
    </row>
    <row r="238" spans="1:69" ht="12.75">
      <c r="D238" s="12" t="s">
        <v>563</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82" t="s">
        <v>569</v>
      </c>
      <c r="BG238" s="388">
        <f>IF(AND(AND($M$248="nonprofit",$M$256="(select one)",$M$264="(select one)")),1,0)</f>
        <v>0</v>
      </c>
      <c r="BN238" s="61"/>
    </row>
    <row r="239" spans="1:69" ht="12.75">
      <c r="D239" s="60"/>
      <c r="K239" s="3"/>
      <c r="BB239" s="382" t="s">
        <v>941</v>
      </c>
      <c r="BG239" s="388">
        <f>IF(AND(AND($M$248="for profit",$M$256="for profit",$M$264="(select one)")),3,0)</f>
        <v>0</v>
      </c>
    </row>
    <row r="240" spans="1:69" ht="12.75">
      <c r="A240" s="50" t="s">
        <v>623</v>
      </c>
      <c r="C240" s="50" t="s">
        <v>1381</v>
      </c>
      <c r="D240" s="60"/>
      <c r="K240" s="3"/>
      <c r="L240" s="14"/>
      <c r="M240" s="14"/>
      <c r="N240" s="14"/>
      <c r="BB240" s="382" t="s">
        <v>941</v>
      </c>
      <c r="BG240" s="388">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82" t="s">
        <v>941</v>
      </c>
      <c r="BG241" s="388">
        <f>IF(AND(AND($M$248="for profit",$M$256="(select one)",$M$264="(select one)")),3,0)</f>
        <v>0</v>
      </c>
    </row>
    <row r="242" spans="1:72" ht="12.75">
      <c r="A242" s="29"/>
      <c r="B242" s="7"/>
      <c r="C242" s="136" t="s">
        <v>505</v>
      </c>
      <c r="D242" s="57" t="s">
        <v>564</v>
      </c>
      <c r="E242" s="57"/>
      <c r="F242" s="57"/>
      <c r="G242" s="57"/>
      <c r="H242" s="57"/>
      <c r="I242" s="57"/>
      <c r="J242" s="57"/>
      <c r="K242" s="57"/>
      <c r="L242" s="7"/>
      <c r="M242" s="2210" t="s">
        <v>2535</v>
      </c>
      <c r="N242" s="2211"/>
      <c r="O242" s="2211"/>
      <c r="P242" s="2211"/>
      <c r="Q242" s="2211"/>
      <c r="R242" s="2211"/>
      <c r="S242" s="2211"/>
      <c r="T242" s="2211"/>
      <c r="U242" s="2211"/>
      <c r="V242" s="2211"/>
      <c r="W242" s="2211"/>
      <c r="X242" s="2211"/>
      <c r="Y242" s="2211"/>
      <c r="Z242" s="2211"/>
      <c r="AA242" s="2211"/>
      <c r="AB242" s="2211"/>
      <c r="AC242" s="2211"/>
      <c r="AD242" s="2211"/>
      <c r="AE242" s="2211"/>
      <c r="AF242" s="2211" t="s">
        <v>2536</v>
      </c>
      <c r="AG242" s="2211"/>
      <c r="AH242" s="2211"/>
      <c r="AI242" s="2211"/>
      <c r="AJ242" s="2211"/>
      <c r="AK242" s="2211"/>
      <c r="BM242" s="25"/>
      <c r="BN242" s="3"/>
      <c r="BO242" s="389"/>
      <c r="BP242" s="379"/>
      <c r="BQ242" s="379"/>
      <c r="BR242" s="379"/>
      <c r="BS242" s="379"/>
      <c r="BT242" s="25"/>
    </row>
    <row r="243" spans="1:72" ht="12.75">
      <c r="A243" s="29"/>
      <c r="B243" s="7"/>
      <c r="C243" s="7"/>
      <c r="D243" s="57" t="s">
        <v>90</v>
      </c>
      <c r="E243" s="57"/>
      <c r="F243" s="57"/>
      <c r="G243" s="57"/>
      <c r="H243" s="57"/>
      <c r="I243" s="57"/>
      <c r="J243" s="57"/>
      <c r="K243" s="57"/>
      <c r="L243" s="7"/>
      <c r="M243" s="2043" t="s">
        <v>2529</v>
      </c>
      <c r="N243" s="2195"/>
      <c r="O243" s="2195"/>
      <c r="P243" s="2195"/>
      <c r="Q243" s="2195"/>
      <c r="R243" s="2195"/>
      <c r="S243" s="2195"/>
      <c r="T243" s="2195"/>
      <c r="U243" s="2195"/>
      <c r="V243" s="2195"/>
      <c r="W243" s="2195"/>
      <c r="X243" s="2195"/>
      <c r="Y243" s="2195"/>
      <c r="Z243" s="2195"/>
      <c r="AA243" s="2195"/>
      <c r="AB243" s="2195"/>
      <c r="AC243" s="2195"/>
      <c r="AD243" s="2195"/>
      <c r="AE243" s="2195"/>
      <c r="AF243" s="58" t="s">
        <v>1377</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043" t="s">
        <v>769</v>
      </c>
      <c r="N244" s="2195"/>
      <c r="O244" s="2195"/>
      <c r="P244" s="2195"/>
      <c r="Q244" s="2195"/>
      <c r="R244" s="2195"/>
      <c r="S244" s="2195"/>
      <c r="T244" s="2195"/>
      <c r="V244" s="59" t="s">
        <v>91</v>
      </c>
      <c r="W244" s="2177" t="s">
        <v>2530</v>
      </c>
      <c r="X244" s="2045"/>
      <c r="Y244" s="57" t="s">
        <v>617</v>
      </c>
      <c r="AC244" s="2195">
        <v>92101</v>
      </c>
      <c r="AD244" s="2195"/>
      <c r="AE244" s="2195"/>
      <c r="AF244" s="58" t="s">
        <v>1378</v>
      </c>
      <c r="AG244" s="718"/>
      <c r="AH244" s="718"/>
      <c r="AI244" s="718"/>
      <c r="AJ244" s="718"/>
      <c r="AK244" s="718"/>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2043" t="s">
        <v>2531</v>
      </c>
      <c r="N245" s="2195"/>
      <c r="O245" s="2195"/>
      <c r="P245" s="2195"/>
      <c r="Q245" s="2195"/>
      <c r="R245" s="2195"/>
      <c r="S245" s="2195"/>
      <c r="T245" s="2195"/>
      <c r="U245" s="2195"/>
      <c r="V245" s="2195"/>
      <c r="W245" s="2195"/>
      <c r="X245" s="2195"/>
      <c r="Y245" s="2195"/>
      <c r="Z245" s="2195"/>
      <c r="AA245" s="2195"/>
      <c r="AB245" s="2195"/>
      <c r="AC245" s="2195"/>
      <c r="AD245" s="2195"/>
      <c r="AE245" s="2195"/>
      <c r="AH245" s="2117">
        <v>0.05</v>
      </c>
      <c r="AI245" s="2117"/>
      <c r="AJ245" s="2117"/>
      <c r="AK245" s="2117"/>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0" t="str">
        <f>VLOOKUP(BG243,BG244:BH246,2,FALSE)</f>
        <v>Nonprofit</v>
      </c>
    </row>
    <row r="246" spans="1:72" ht="12.75">
      <c r="A246" s="29"/>
      <c r="B246" s="7"/>
      <c r="C246" s="7"/>
      <c r="D246" s="60" t="s">
        <v>93</v>
      </c>
      <c r="E246" s="7"/>
      <c r="F246" s="7"/>
      <c r="M246" s="2044" t="s">
        <v>2532</v>
      </c>
      <c r="N246" s="2056"/>
      <c r="O246" s="2056"/>
      <c r="P246" s="2056"/>
      <c r="Q246" s="2056"/>
      <c r="R246" s="2056"/>
      <c r="S246" s="7" t="s">
        <v>211</v>
      </c>
      <c r="T246" s="7"/>
      <c r="U246" s="2045"/>
      <c r="V246" s="2045"/>
      <c r="W246" s="2045"/>
      <c r="X246" s="7" t="s">
        <v>94</v>
      </c>
      <c r="Z246" s="2044" t="s">
        <v>625</v>
      </c>
      <c r="AA246" s="2056"/>
      <c r="AB246" s="2056"/>
      <c r="AC246" s="2056"/>
      <c r="AD246" s="2056"/>
      <c r="AE246" s="2056"/>
      <c r="BB246" s="7" t="s">
        <v>177</v>
      </c>
      <c r="BG246" s="12">
        <v>3</v>
      </c>
      <c r="BH246" s="12" t="s">
        <v>568</v>
      </c>
      <c r="BN246" s="389"/>
      <c r="BO246" s="39"/>
    </row>
    <row r="247" spans="1:72" ht="12.75">
      <c r="A247" s="29"/>
      <c r="B247" s="7"/>
      <c r="C247" s="7"/>
      <c r="D247" s="60" t="s">
        <v>95</v>
      </c>
      <c r="E247" s="7"/>
      <c r="F247" s="7"/>
      <c r="M247" s="2198" t="s">
        <v>2533</v>
      </c>
      <c r="N247" s="2198"/>
      <c r="O247" s="2198"/>
      <c r="P247" s="2198"/>
      <c r="Q247" s="2198"/>
      <c r="R247" s="2198"/>
      <c r="S247" s="2198"/>
      <c r="T247" s="2198"/>
      <c r="U247" s="2198"/>
      <c r="V247" s="2198"/>
      <c r="W247" s="2198"/>
      <c r="X247" s="2198"/>
      <c r="Y247" s="2198"/>
      <c r="Z247" s="2198"/>
      <c r="AA247" s="2198"/>
      <c r="AB247" s="2198"/>
      <c r="AC247" s="2198"/>
      <c r="AD247" s="2198"/>
      <c r="AE247" s="219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2" t="s">
        <v>566</v>
      </c>
      <c r="N248" s="2032"/>
      <c r="O248" s="2032"/>
      <c r="P248" s="2032"/>
      <c r="Q248" s="2032"/>
      <c r="R248" s="2032"/>
      <c r="S248" s="2032"/>
      <c r="T248" s="2032"/>
      <c r="U248" s="386" t="s">
        <v>974</v>
      </c>
      <c r="V248" s="324"/>
      <c r="W248" s="324"/>
      <c r="X248" s="324"/>
      <c r="Y248" s="324"/>
      <c r="Z248" s="324"/>
      <c r="AA248" s="2212" t="s">
        <v>2544</v>
      </c>
      <c r="AB248" s="2213"/>
      <c r="AC248" s="2213"/>
      <c r="AD248" s="2213"/>
      <c r="AE248" s="2213"/>
      <c r="AF248" s="2213"/>
      <c r="AG248" s="2213"/>
      <c r="AH248" s="2213"/>
      <c r="AI248" s="2213"/>
      <c r="AJ248" s="2213"/>
      <c r="AK248" s="221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10" t="s">
        <v>2538</v>
      </c>
      <c r="N250" s="2211"/>
      <c r="O250" s="2211"/>
      <c r="P250" s="2211"/>
      <c r="Q250" s="2211"/>
      <c r="R250" s="2211"/>
      <c r="S250" s="2211"/>
      <c r="T250" s="2211"/>
      <c r="U250" s="2211"/>
      <c r="V250" s="2211"/>
      <c r="W250" s="2211"/>
      <c r="X250" s="2211"/>
      <c r="Y250" s="2211"/>
      <c r="Z250" s="2211"/>
      <c r="AA250" s="2211"/>
      <c r="AB250" s="2211"/>
      <c r="AC250" s="2211"/>
      <c r="AD250" s="2211"/>
      <c r="AE250" s="2211"/>
      <c r="AF250" s="2211" t="s">
        <v>2537</v>
      </c>
      <c r="AG250" s="2211"/>
      <c r="AH250" s="2211"/>
      <c r="AI250" s="2211"/>
      <c r="AJ250" s="2211"/>
      <c r="AK250" s="2211"/>
      <c r="BN250" s="61"/>
    </row>
    <row r="251" spans="1:72" ht="12.75">
      <c r="A251" s="29"/>
      <c r="B251" s="7"/>
      <c r="C251" s="7"/>
      <c r="D251" s="57" t="s">
        <v>90</v>
      </c>
      <c r="E251" s="57"/>
      <c r="F251" s="57"/>
      <c r="G251" s="57"/>
      <c r="H251" s="57"/>
      <c r="I251" s="57"/>
      <c r="J251" s="57"/>
      <c r="K251" s="57"/>
      <c r="L251" s="7"/>
      <c r="M251" s="2043" t="s">
        <v>2539</v>
      </c>
      <c r="N251" s="2195"/>
      <c r="O251" s="2195"/>
      <c r="P251" s="2195"/>
      <c r="Q251" s="2195"/>
      <c r="R251" s="2195"/>
      <c r="S251" s="2195"/>
      <c r="T251" s="2195"/>
      <c r="U251" s="2195"/>
      <c r="V251" s="2195"/>
      <c r="W251" s="2195"/>
      <c r="X251" s="2195"/>
      <c r="Y251" s="2195"/>
      <c r="Z251" s="2195"/>
      <c r="AA251" s="2195"/>
      <c r="AB251" s="2195"/>
      <c r="AC251" s="2195"/>
      <c r="AD251" s="2195"/>
      <c r="AE251" s="2195"/>
      <c r="AF251" s="58" t="s">
        <v>1377</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43" t="s">
        <v>70</v>
      </c>
      <c r="N252" s="2195"/>
      <c r="O252" s="2195"/>
      <c r="P252" s="2195"/>
      <c r="Q252" s="2195"/>
      <c r="R252" s="2195"/>
      <c r="S252" s="2195"/>
      <c r="T252" s="2195"/>
      <c r="V252" s="59" t="s">
        <v>91</v>
      </c>
      <c r="W252" s="2177" t="s">
        <v>2530</v>
      </c>
      <c r="X252" s="2045"/>
      <c r="Y252" s="57" t="s">
        <v>617</v>
      </c>
      <c r="AC252" s="2195">
        <v>92501</v>
      </c>
      <c r="AD252" s="2195"/>
      <c r="AE252" s="2195"/>
      <c r="AF252" s="58" t="s">
        <v>1378</v>
      </c>
      <c r="AG252" s="718"/>
      <c r="AH252" s="718"/>
      <c r="AI252" s="718"/>
      <c r="AJ252" s="718"/>
      <c r="AK252" s="718"/>
      <c r="BN252" s="61"/>
    </row>
    <row r="253" spans="1:72" ht="12.75">
      <c r="A253" s="29"/>
      <c r="B253" s="7"/>
      <c r="C253" s="7"/>
      <c r="D253" s="60" t="s">
        <v>92</v>
      </c>
      <c r="E253" s="7"/>
      <c r="F253" s="7"/>
      <c r="G253" s="7"/>
      <c r="H253" s="7"/>
      <c r="I253" s="7"/>
      <c r="J253" s="7"/>
      <c r="K253" s="7"/>
      <c r="L253" s="29"/>
      <c r="M253" s="2043" t="s">
        <v>2591</v>
      </c>
      <c r="N253" s="2195"/>
      <c r="O253" s="2195"/>
      <c r="P253" s="2195"/>
      <c r="Q253" s="2195"/>
      <c r="R253" s="2195"/>
      <c r="S253" s="2195"/>
      <c r="T253" s="2195"/>
      <c r="U253" s="2195"/>
      <c r="V253" s="2195"/>
      <c r="W253" s="2195"/>
      <c r="X253" s="2195"/>
      <c r="Y253" s="2195"/>
      <c r="Z253" s="2195"/>
      <c r="AA253" s="2195"/>
      <c r="AB253" s="2195"/>
      <c r="AC253" s="2195"/>
      <c r="AD253" s="2195"/>
      <c r="AE253" s="2195"/>
      <c r="AF253" s="718"/>
      <c r="AG253" s="718"/>
      <c r="AH253" s="2117">
        <v>0.05</v>
      </c>
      <c r="AI253" s="2117"/>
      <c r="AJ253" s="2117"/>
      <c r="AK253" s="211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44" t="s">
        <v>2541</v>
      </c>
      <c r="N254" s="2056"/>
      <c r="O254" s="2056"/>
      <c r="P254" s="2056"/>
      <c r="Q254" s="2056"/>
      <c r="R254" s="2056"/>
      <c r="S254" s="7" t="s">
        <v>211</v>
      </c>
      <c r="T254" s="7"/>
      <c r="U254" s="2045"/>
      <c r="V254" s="2045"/>
      <c r="W254" s="2045"/>
      <c r="X254" s="7" t="s">
        <v>94</v>
      </c>
      <c r="Z254" s="2044" t="s">
        <v>625</v>
      </c>
      <c r="AA254" s="2056"/>
      <c r="AB254" s="2056"/>
      <c r="AC254" s="2056"/>
      <c r="AD254" s="2056"/>
      <c r="AE254" s="2056"/>
    </row>
    <row r="255" spans="1:72" ht="12.75">
      <c r="A255" s="29"/>
      <c r="B255" s="7"/>
      <c r="C255" s="7"/>
      <c r="D255" s="60" t="s">
        <v>95</v>
      </c>
      <c r="E255" s="7"/>
      <c r="F255" s="7"/>
      <c r="M255" s="2198" t="s">
        <v>2686</v>
      </c>
      <c r="N255" s="2198"/>
      <c r="O255" s="2198"/>
      <c r="P255" s="2198"/>
      <c r="Q255" s="2198"/>
      <c r="R255" s="2198"/>
      <c r="S255" s="2198"/>
      <c r="T255" s="2198"/>
      <c r="U255" s="2198"/>
      <c r="V255" s="2198"/>
      <c r="W255" s="2198"/>
      <c r="X255" s="2198"/>
      <c r="Y255" s="2198"/>
      <c r="Z255" s="2198"/>
      <c r="AA255" s="2198"/>
      <c r="AB255" s="2198"/>
      <c r="AC255" s="2198"/>
      <c r="AD255" s="2198"/>
      <c r="AE255" s="219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2" t="s">
        <v>566</v>
      </c>
      <c r="N256" s="2032"/>
      <c r="O256" s="2032"/>
      <c r="P256" s="2032"/>
      <c r="Q256" s="2032"/>
      <c r="R256" s="2032"/>
      <c r="S256" s="2032"/>
      <c r="T256" s="2032"/>
      <c r="U256" s="386" t="s">
        <v>974</v>
      </c>
      <c r="V256" s="324"/>
      <c r="W256" s="324"/>
      <c r="X256" s="324"/>
      <c r="Y256" s="324"/>
      <c r="Z256" s="324"/>
      <c r="AA256" s="2212" t="s">
        <v>2540</v>
      </c>
      <c r="AB256" s="2213"/>
      <c r="AC256" s="2213"/>
      <c r="AD256" s="2213"/>
      <c r="AE256" s="2213"/>
      <c r="AF256" s="2213"/>
      <c r="AG256" s="2213"/>
      <c r="AH256" s="2213"/>
      <c r="AI256" s="2213"/>
      <c r="AJ256" s="2213"/>
      <c r="AK256" s="2213"/>
      <c r="AL256" s="58"/>
      <c r="AM256" s="238"/>
      <c r="AN256" s="238"/>
      <c r="AO256" s="238"/>
      <c r="AP256" s="238"/>
      <c r="AQ256" s="238"/>
      <c r="AR256" s="238"/>
      <c r="AS256" s="238"/>
      <c r="AT256" s="238"/>
      <c r="AU256" s="238"/>
      <c r="AV256" s="238"/>
      <c r="AW256" s="238"/>
      <c r="AX256" s="238"/>
      <c r="AY256" s="238"/>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2.75" customHeight="1">
      <c r="A258" s="23"/>
      <c r="B258" s="7"/>
      <c r="C258" s="136" t="s">
        <v>940</v>
      </c>
      <c r="D258" s="57" t="s">
        <v>564</v>
      </c>
      <c r="E258" s="57"/>
      <c r="F258" s="57"/>
      <c r="G258" s="57"/>
      <c r="H258" s="57"/>
      <c r="I258" s="57"/>
      <c r="J258" s="57"/>
      <c r="K258" s="57"/>
      <c r="L258" s="7"/>
      <c r="M258" s="2210" t="s">
        <v>2542</v>
      </c>
      <c r="N258" s="2211"/>
      <c r="O258" s="2211"/>
      <c r="P258" s="2211"/>
      <c r="Q258" s="2211"/>
      <c r="R258" s="2211"/>
      <c r="S258" s="2211"/>
      <c r="T258" s="2211"/>
      <c r="U258" s="2211"/>
      <c r="V258" s="2211"/>
      <c r="W258" s="2211"/>
      <c r="X258" s="2211"/>
      <c r="Y258" s="2211"/>
      <c r="Z258" s="2211"/>
      <c r="AA258" s="2211"/>
      <c r="AB258" s="2211"/>
      <c r="AC258" s="2211"/>
      <c r="AD258" s="2211"/>
      <c r="AE258" s="2211"/>
      <c r="AF258" s="2211" t="s">
        <v>315</v>
      </c>
      <c r="AG258" s="2211"/>
      <c r="AH258" s="2211"/>
      <c r="AI258" s="2211"/>
      <c r="AJ258" s="2211"/>
      <c r="AK258" s="2211"/>
      <c r="AL258" s="58"/>
      <c r="AM258" s="238"/>
      <c r="AN258" s="238"/>
      <c r="AO258" s="238"/>
      <c r="AP258" s="238"/>
      <c r="AQ258" s="238"/>
      <c r="AR258" s="238"/>
      <c r="AS258" s="238"/>
      <c r="AT258" s="238"/>
      <c r="AU258" s="238"/>
      <c r="AV258" s="238"/>
      <c r="AW258" s="238"/>
      <c r="AX258" s="238"/>
      <c r="AY258" s="238"/>
      <c r="BN258" s="61"/>
    </row>
    <row r="259" spans="1:66" ht="12.75" customHeight="1">
      <c r="A259" s="23"/>
      <c r="B259" s="7"/>
      <c r="C259" s="7"/>
      <c r="D259" s="57" t="s">
        <v>90</v>
      </c>
      <c r="E259" s="57"/>
      <c r="F259" s="57"/>
      <c r="G259" s="57"/>
      <c r="H259" s="57"/>
      <c r="I259" s="57"/>
      <c r="J259" s="57"/>
      <c r="K259" s="57"/>
      <c r="L259" s="7"/>
      <c r="M259" s="2195"/>
      <c r="N259" s="2195"/>
      <c r="O259" s="2195"/>
      <c r="P259" s="2195"/>
      <c r="Q259" s="2195"/>
      <c r="R259" s="2195"/>
      <c r="S259" s="2195"/>
      <c r="T259" s="2195"/>
      <c r="U259" s="2195"/>
      <c r="V259" s="2195"/>
      <c r="W259" s="2195"/>
      <c r="X259" s="2195"/>
      <c r="Y259" s="2195"/>
      <c r="Z259" s="2195"/>
      <c r="AA259" s="2195"/>
      <c r="AB259" s="2195"/>
      <c r="AC259" s="2195"/>
      <c r="AD259" s="2195"/>
      <c r="AE259" s="2195"/>
      <c r="AF259" s="58" t="s">
        <v>1377</v>
      </c>
      <c r="AG259" s="718"/>
      <c r="AH259" s="718"/>
      <c r="AI259" s="718"/>
      <c r="AJ259" s="718"/>
      <c r="AK259" s="718"/>
      <c r="AL259" s="58"/>
      <c r="AM259" s="238"/>
      <c r="AN259" s="238"/>
      <c r="AO259" s="238"/>
      <c r="AP259" s="238"/>
      <c r="AQ259" s="238"/>
      <c r="AR259" s="238"/>
      <c r="AS259" s="238"/>
      <c r="AT259" s="238"/>
      <c r="AU259" s="238"/>
      <c r="AV259" s="238"/>
      <c r="AW259" s="238"/>
      <c r="AX259" s="238"/>
      <c r="AY259" s="238"/>
      <c r="BN259" s="61"/>
    </row>
    <row r="260" spans="1:66" ht="12.75" customHeight="1">
      <c r="A260" s="23"/>
      <c r="B260" s="7"/>
      <c r="C260" s="7"/>
      <c r="D260" s="57" t="s">
        <v>614</v>
      </c>
      <c r="E260" s="57"/>
      <c r="M260" s="2195"/>
      <c r="N260" s="2195"/>
      <c r="O260" s="2195"/>
      <c r="P260" s="2195"/>
      <c r="Q260" s="2195"/>
      <c r="R260" s="2195"/>
      <c r="S260" s="2195"/>
      <c r="T260" s="2195"/>
      <c r="V260" s="59" t="s">
        <v>91</v>
      </c>
      <c r="W260" s="2045"/>
      <c r="X260" s="2045"/>
      <c r="Y260" s="57" t="s">
        <v>617</v>
      </c>
      <c r="AC260" s="2195"/>
      <c r="AD260" s="2195"/>
      <c r="AE260" s="2195"/>
      <c r="AF260" s="58" t="s">
        <v>1378</v>
      </c>
      <c r="AG260" s="718"/>
      <c r="AH260" s="718"/>
      <c r="AI260" s="718"/>
      <c r="AJ260" s="718"/>
      <c r="AK260" s="718"/>
      <c r="AL260" s="58"/>
      <c r="AM260" s="238"/>
      <c r="AN260" s="238"/>
      <c r="AO260" s="238"/>
      <c r="AP260" s="238"/>
      <c r="AQ260" s="238"/>
      <c r="AR260" s="238"/>
      <c r="AS260" s="238"/>
      <c r="AT260" s="238"/>
      <c r="AU260" s="238"/>
      <c r="AV260" s="238"/>
      <c r="AW260" s="238"/>
      <c r="AX260" s="238"/>
      <c r="AY260" s="238"/>
      <c r="BN260" s="61"/>
    </row>
    <row r="261" spans="1:66" ht="12.75">
      <c r="A261" s="23"/>
      <c r="B261" s="7"/>
      <c r="C261" s="7"/>
      <c r="D261" s="60" t="s">
        <v>92</v>
      </c>
      <c r="E261" s="7"/>
      <c r="F261" s="7"/>
      <c r="G261" s="7"/>
      <c r="H261" s="7"/>
      <c r="I261" s="7"/>
      <c r="J261" s="7"/>
      <c r="K261" s="7"/>
      <c r="L261" s="29"/>
      <c r="M261" s="2195"/>
      <c r="N261" s="2195"/>
      <c r="O261" s="2195"/>
      <c r="P261" s="2195"/>
      <c r="Q261" s="2195"/>
      <c r="R261" s="2195"/>
      <c r="S261" s="2195"/>
      <c r="T261" s="2195"/>
      <c r="U261" s="2195"/>
      <c r="V261" s="2195"/>
      <c r="W261" s="2195"/>
      <c r="X261" s="2195"/>
      <c r="Y261" s="2195"/>
      <c r="Z261" s="2195"/>
      <c r="AA261" s="2195"/>
      <c r="AB261" s="2195"/>
      <c r="AC261" s="2195"/>
      <c r="AD261" s="2195"/>
      <c r="AE261" s="2195"/>
      <c r="AF261" s="718"/>
      <c r="AG261" s="718"/>
      <c r="AH261" s="2117">
        <v>99.9</v>
      </c>
      <c r="AI261" s="2117"/>
      <c r="AJ261" s="2117"/>
      <c r="AK261" s="2117"/>
      <c r="AL261" s="58"/>
      <c r="AM261" s="238"/>
      <c r="AN261" s="238"/>
      <c r="AO261" s="238"/>
      <c r="AP261" s="238"/>
      <c r="AQ261" s="238"/>
      <c r="AR261" s="238"/>
      <c r="AS261" s="238"/>
      <c r="AT261" s="238"/>
      <c r="AU261" s="238"/>
      <c r="AV261" s="238"/>
      <c r="AW261" s="238"/>
      <c r="AX261" s="238"/>
      <c r="AY261" s="238"/>
      <c r="BN261" s="61"/>
    </row>
    <row r="262" spans="1:66" ht="12.75">
      <c r="A262" s="23"/>
      <c r="B262" s="7"/>
      <c r="C262" s="7"/>
      <c r="D262" s="60" t="s">
        <v>93</v>
      </c>
      <c r="E262" s="7"/>
      <c r="F262" s="7"/>
      <c r="M262" s="2056"/>
      <c r="N262" s="2056"/>
      <c r="O262" s="2056"/>
      <c r="P262" s="2056"/>
      <c r="Q262" s="2056"/>
      <c r="R262" s="2056"/>
      <c r="S262" s="7" t="s">
        <v>211</v>
      </c>
      <c r="T262" s="7"/>
      <c r="U262" s="2045"/>
      <c r="V262" s="2045"/>
      <c r="W262" s="2045"/>
      <c r="X262" s="7" t="s">
        <v>94</v>
      </c>
      <c r="Z262" s="2056"/>
      <c r="AA262" s="2056"/>
      <c r="AB262" s="2056"/>
      <c r="AC262" s="2056"/>
      <c r="AD262" s="2056"/>
      <c r="AE262" s="2056"/>
      <c r="AL262" s="58"/>
      <c r="AM262" s="238"/>
      <c r="AN262" s="238"/>
      <c r="AO262" s="238"/>
      <c r="AP262" s="238"/>
      <c r="AQ262" s="238"/>
      <c r="AR262" s="238"/>
      <c r="AS262" s="238"/>
      <c r="AT262" s="238"/>
      <c r="AU262" s="238"/>
      <c r="AV262" s="238"/>
      <c r="AW262" s="238"/>
      <c r="AX262" s="238"/>
      <c r="AY262" s="238"/>
      <c r="BN262" s="61"/>
    </row>
    <row r="263" spans="1:66" ht="12.75">
      <c r="A263" s="23"/>
      <c r="B263" s="7"/>
      <c r="C263" s="7"/>
      <c r="D263" s="60" t="s">
        <v>95</v>
      </c>
      <c r="E263" s="7"/>
      <c r="F263" s="7"/>
      <c r="M263" s="2198"/>
      <c r="N263" s="2198"/>
      <c r="O263" s="2198"/>
      <c r="P263" s="2198"/>
      <c r="Q263" s="2198"/>
      <c r="R263" s="2198"/>
      <c r="S263" s="2198"/>
      <c r="T263" s="2198"/>
      <c r="U263" s="2198"/>
      <c r="V263" s="2198"/>
      <c r="W263" s="2198"/>
      <c r="X263" s="2198"/>
      <c r="Y263" s="2198"/>
      <c r="Z263" s="2198"/>
      <c r="AA263" s="2216"/>
      <c r="AB263" s="2216"/>
      <c r="AC263" s="2216"/>
      <c r="AD263" s="2216"/>
      <c r="AE263" s="2216"/>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2.75">
      <c r="A264" s="23"/>
      <c r="B264" s="7"/>
      <c r="C264" s="136"/>
      <c r="D264" s="60" t="s">
        <v>567</v>
      </c>
      <c r="E264" s="7"/>
      <c r="F264" s="7"/>
      <c r="G264" s="7"/>
      <c r="H264" s="7"/>
      <c r="I264" s="7"/>
      <c r="J264" s="7"/>
      <c r="K264" s="7"/>
      <c r="L264" s="7"/>
      <c r="M264" s="2032" t="s">
        <v>315</v>
      </c>
      <c r="N264" s="2032"/>
      <c r="O264" s="2032"/>
      <c r="P264" s="2032"/>
      <c r="Q264" s="2032"/>
      <c r="R264" s="2032"/>
      <c r="S264" s="2032"/>
      <c r="T264" s="2032"/>
      <c r="U264" s="386" t="s">
        <v>974</v>
      </c>
      <c r="V264" s="324"/>
      <c r="W264" s="324"/>
      <c r="X264" s="324"/>
      <c r="Y264" s="324"/>
      <c r="Z264" s="324"/>
      <c r="AA264" s="2227"/>
      <c r="AB264" s="2227"/>
      <c r="AC264" s="2227"/>
      <c r="AD264" s="2227"/>
      <c r="AE264" s="2227"/>
      <c r="AF264" s="2227"/>
      <c r="AG264" s="2227"/>
      <c r="AH264" s="2227"/>
      <c r="AI264" s="2227"/>
      <c r="AJ264" s="2227"/>
      <c r="AK264" s="2227"/>
      <c r="AL264" s="58"/>
      <c r="AM264" s="238"/>
      <c r="AN264" s="238"/>
      <c r="AO264" s="238"/>
      <c r="AP264" s="238"/>
      <c r="AQ264" s="238"/>
      <c r="AR264" s="238"/>
      <c r="AS264" s="238"/>
      <c r="AT264" s="238"/>
      <c r="AU264" s="238"/>
      <c r="AV264" s="238"/>
      <c r="AW264" s="238"/>
      <c r="AX264" s="238"/>
      <c r="AY264" s="238"/>
      <c r="BN264" s="61"/>
    </row>
    <row r="265" spans="1:66" ht="12.75">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240" t="str">
        <f>BO245</f>
        <v>Nonprofit</v>
      </c>
      <c r="U266" s="2240"/>
      <c r="V266" s="2240"/>
      <c r="W266" s="2240"/>
      <c r="X266" s="2240"/>
      <c r="Z266" s="479" t="s">
        <v>1032</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865</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3" t="s">
        <v>1031</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195" t="s">
        <v>285</v>
      </c>
      <c r="E269" s="2195"/>
      <c r="F269" s="2195"/>
      <c r="G269" s="2195"/>
      <c r="H269" s="2195"/>
      <c r="J269" s="12" t="s">
        <v>284</v>
      </c>
      <c r="X269" s="2215"/>
      <c r="Y269" s="2215"/>
      <c r="Z269" s="2215"/>
      <c r="AA269" s="2215"/>
      <c r="AB269" s="2215"/>
      <c r="AC269" s="2215"/>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210" t="s">
        <v>2544</v>
      </c>
      <c r="M273" s="2211"/>
      <c r="N273" s="2211"/>
      <c r="O273" s="2211"/>
      <c r="P273" s="2211"/>
      <c r="Q273" s="2211"/>
      <c r="R273" s="2211"/>
      <c r="S273" s="2211"/>
      <c r="T273" s="2211"/>
      <c r="U273" s="2211"/>
      <c r="V273" s="2211"/>
      <c r="W273" s="2211"/>
      <c r="X273" s="2211"/>
      <c r="Y273" s="2211"/>
      <c r="Z273" s="2211"/>
      <c r="AA273" s="2211"/>
      <c r="AB273" s="2211"/>
      <c r="AC273" s="2211"/>
      <c r="AD273" s="2211"/>
      <c r="AE273" s="2211"/>
      <c r="AF273" s="2211"/>
      <c r="AG273" s="2211"/>
      <c r="AH273" s="2211"/>
      <c r="AI273" s="2211"/>
      <c r="AJ273" s="2211"/>
      <c r="AK273" s="58"/>
      <c r="AL273" s="58"/>
      <c r="AM273" s="238"/>
      <c r="AN273" s="238"/>
      <c r="AO273" s="238"/>
      <c r="AP273" s="238"/>
      <c r="AQ273" s="238"/>
      <c r="AR273" s="238"/>
      <c r="AS273" s="238"/>
      <c r="AT273" s="238"/>
      <c r="AU273" s="238"/>
      <c r="AV273" s="238"/>
      <c r="AW273" s="238"/>
      <c r="AX273" s="238"/>
      <c r="AY273" s="238"/>
      <c r="BN273" s="61"/>
    </row>
    <row r="274" spans="1:66" ht="12.75">
      <c r="D274" s="57" t="s">
        <v>90</v>
      </c>
      <c r="E274" s="57"/>
      <c r="F274" s="57"/>
      <c r="G274" s="57"/>
      <c r="H274" s="57"/>
      <c r="I274" s="57"/>
      <c r="J274" s="57"/>
      <c r="K274" s="7"/>
      <c r="L274" s="2043" t="s">
        <v>2529</v>
      </c>
      <c r="M274" s="2195"/>
      <c r="N274" s="2195"/>
      <c r="O274" s="2195"/>
      <c r="P274" s="2195"/>
      <c r="Q274" s="2195"/>
      <c r="R274" s="2195"/>
      <c r="S274" s="2195"/>
      <c r="T274" s="2195"/>
      <c r="U274" s="2195"/>
      <c r="V274" s="2195"/>
      <c r="W274" s="2195"/>
      <c r="X274" s="2195"/>
      <c r="Y274" s="2195"/>
      <c r="Z274" s="2195"/>
      <c r="AA274" s="2195"/>
      <c r="AB274" s="2195"/>
      <c r="AC274" s="2195"/>
      <c r="AD274" s="2195"/>
      <c r="AK274" s="58"/>
      <c r="AL274" s="58"/>
      <c r="AM274" s="238"/>
      <c r="AN274" s="238"/>
      <c r="AO274" s="238"/>
      <c r="AP274" s="238"/>
      <c r="AQ274" s="238"/>
      <c r="AR274" s="238"/>
      <c r="AS274" s="238"/>
      <c r="AT274" s="238"/>
      <c r="AU274" s="238"/>
      <c r="AV274" s="238"/>
      <c r="AW274" s="238"/>
      <c r="AX274" s="238"/>
      <c r="AY274" s="238"/>
      <c r="BN274" s="61"/>
    </row>
    <row r="275" spans="1:66" ht="12.75">
      <c r="D275" s="57" t="s">
        <v>614</v>
      </c>
      <c r="E275" s="57"/>
      <c r="L275" s="2043" t="s">
        <v>769</v>
      </c>
      <c r="M275" s="2195"/>
      <c r="N275" s="2195"/>
      <c r="O275" s="2195"/>
      <c r="P275" s="2195"/>
      <c r="Q275" s="2195"/>
      <c r="R275" s="2195"/>
      <c r="S275" s="2195"/>
      <c r="U275" s="59" t="s">
        <v>91</v>
      </c>
      <c r="V275" s="2177" t="s">
        <v>2530</v>
      </c>
      <c r="W275" s="2045"/>
      <c r="X275" s="57" t="s">
        <v>617</v>
      </c>
      <c r="AB275" s="2195">
        <v>92101</v>
      </c>
      <c r="AC275" s="2195"/>
      <c r="AD275" s="2195"/>
      <c r="AK275" s="58"/>
      <c r="AL275" s="58"/>
      <c r="AM275" s="238"/>
      <c r="AN275" s="238"/>
      <c r="AO275" s="238"/>
      <c r="AP275" s="238"/>
      <c r="AQ275" s="238"/>
      <c r="AR275" s="238"/>
      <c r="AS275" s="238"/>
      <c r="AT275" s="238"/>
      <c r="AU275" s="238"/>
      <c r="AV275" s="238"/>
      <c r="AW275" s="238"/>
      <c r="AX275" s="238"/>
      <c r="AY275" s="238"/>
      <c r="BN275" s="61"/>
    </row>
    <row r="276" spans="1:66" ht="12.75" customHeight="1">
      <c r="D276" s="60" t="s">
        <v>92</v>
      </c>
      <c r="E276" s="7"/>
      <c r="F276" s="7"/>
      <c r="G276" s="7"/>
      <c r="H276" s="7"/>
      <c r="I276" s="7"/>
      <c r="J276" s="7"/>
      <c r="K276" s="29"/>
      <c r="L276" s="2043" t="s">
        <v>2531</v>
      </c>
      <c r="M276" s="2195"/>
      <c r="N276" s="2195"/>
      <c r="O276" s="2195"/>
      <c r="P276" s="2195"/>
      <c r="Q276" s="2195"/>
      <c r="R276" s="2195"/>
      <c r="S276" s="2195"/>
      <c r="T276" s="2195"/>
      <c r="U276" s="2195"/>
      <c r="V276" s="2195"/>
      <c r="W276" s="2195"/>
      <c r="X276" s="2195"/>
      <c r="Y276" s="2195"/>
      <c r="Z276" s="2195"/>
      <c r="AA276" s="2195"/>
      <c r="AB276" s="2195"/>
      <c r="AC276" s="2195"/>
      <c r="AD276" s="2195"/>
      <c r="AI276" s="7"/>
      <c r="AJ276" s="7"/>
      <c r="AK276" s="58"/>
      <c r="AL276" s="58"/>
      <c r="AM276" s="238"/>
      <c r="AN276" s="238"/>
      <c r="AO276" s="238"/>
      <c r="AP276" s="238"/>
      <c r="AQ276" s="238"/>
      <c r="AR276" s="238"/>
      <c r="AS276" s="238"/>
      <c r="AT276" s="238"/>
      <c r="AU276" s="238"/>
      <c r="AV276" s="238"/>
      <c r="AW276" s="238"/>
      <c r="AX276" s="238"/>
      <c r="AY276" s="238"/>
      <c r="BN276" s="61"/>
    </row>
    <row r="277" spans="1:66" ht="12.75">
      <c r="D277" s="60" t="s">
        <v>93</v>
      </c>
      <c r="E277" s="7"/>
      <c r="F277" s="7"/>
      <c r="L277" s="2044" t="s">
        <v>2532</v>
      </c>
      <c r="M277" s="2056"/>
      <c r="N277" s="2056"/>
      <c r="O277" s="2056"/>
      <c r="P277" s="2056"/>
      <c r="Q277" s="2056"/>
      <c r="R277" s="7" t="s">
        <v>211</v>
      </c>
      <c r="S277" s="7"/>
      <c r="T277" s="2045"/>
      <c r="U277" s="2045"/>
      <c r="V277" s="2045"/>
      <c r="W277" s="7" t="s">
        <v>94</v>
      </c>
      <c r="Y277" s="2056"/>
      <c r="Z277" s="2056"/>
      <c r="AA277" s="2056"/>
      <c r="AB277" s="2056"/>
      <c r="AC277" s="2056"/>
      <c r="AD277" s="2056"/>
      <c r="BN277" s="61"/>
    </row>
    <row r="278" spans="1:66" ht="12.75">
      <c r="D278" s="60" t="s">
        <v>95</v>
      </c>
      <c r="E278" s="7"/>
      <c r="F278" s="7"/>
      <c r="L278" s="2198" t="s">
        <v>2533</v>
      </c>
      <c r="M278" s="2198"/>
      <c r="N278" s="2198"/>
      <c r="O278" s="2198"/>
      <c r="P278" s="2198"/>
      <c r="Q278" s="2198"/>
      <c r="R278" s="2198"/>
      <c r="S278" s="2198"/>
      <c r="T278" s="2198"/>
      <c r="U278" s="2198"/>
      <c r="V278" s="2198"/>
      <c r="W278" s="2198"/>
      <c r="X278" s="2198"/>
      <c r="Y278" s="2198"/>
      <c r="Z278" s="2198"/>
      <c r="AA278" s="2198"/>
      <c r="AB278" s="2198"/>
      <c r="AC278" s="2198"/>
      <c r="AD278" s="2198"/>
      <c r="AF278" s="7"/>
      <c r="AG278" s="7"/>
      <c r="AH278" s="7"/>
      <c r="AI278" s="7"/>
      <c r="AJ278" s="7"/>
      <c r="BN278" s="61"/>
    </row>
    <row r="279" spans="1:66" ht="12.75">
      <c r="D279" s="58" t="s">
        <v>657</v>
      </c>
      <c r="E279" s="58"/>
      <c r="F279" s="58"/>
      <c r="G279" s="58"/>
      <c r="H279" s="58"/>
      <c r="I279" s="58"/>
      <c r="L279" s="2177" t="s">
        <v>2534</v>
      </c>
      <c r="M279" s="2177"/>
      <c r="N279" s="2177"/>
      <c r="O279" s="2177"/>
      <c r="P279" s="2177"/>
      <c r="Q279" s="2177"/>
      <c r="R279" s="2177"/>
      <c r="S279" s="2177"/>
      <c r="T279" s="2177"/>
      <c r="U279" s="2177"/>
      <c r="V279" s="2177"/>
      <c r="W279" s="2177"/>
      <c r="X279" s="2177"/>
      <c r="Y279" s="2177"/>
      <c r="Z279" s="2177"/>
      <c r="AA279" s="2177"/>
      <c r="AB279" s="2177"/>
      <c r="AC279" s="2177"/>
      <c r="AD279" s="2177"/>
      <c r="AK279" s="58"/>
      <c r="AL279" s="58"/>
      <c r="AM279" s="238"/>
      <c r="AN279" s="238"/>
      <c r="AO279" s="238"/>
      <c r="AP279" s="238"/>
      <c r="AQ279" s="238"/>
      <c r="AR279" s="238"/>
      <c r="AS279" s="238"/>
      <c r="AT279" s="238"/>
      <c r="AU279" s="238"/>
      <c r="AV279" s="238"/>
      <c r="AW279" s="238"/>
      <c r="AX279" s="238"/>
      <c r="AY279" s="238"/>
      <c r="BN279" s="61"/>
    </row>
    <row r="280" spans="1:66" ht="12.75">
      <c r="L280" s="35" t="s">
        <v>658</v>
      </c>
      <c r="BN280" s="61"/>
    </row>
    <row r="281" spans="1:66" ht="12.75">
      <c r="A281" s="2086" t="s">
        <v>573</v>
      </c>
      <c r="B281" s="2086"/>
      <c r="C281" s="2086"/>
      <c r="D281" s="2086"/>
      <c r="E281" s="2086"/>
      <c r="F281" s="2086"/>
      <c r="G281" s="2086"/>
      <c r="H281" s="2086"/>
      <c r="I281" s="2086"/>
      <c r="J281" s="2086"/>
      <c r="K281" s="2086"/>
      <c r="L281" s="2086"/>
      <c r="M281" s="2086"/>
      <c r="N281" s="2086"/>
      <c r="O281" s="2086"/>
      <c r="P281" s="2086"/>
      <c r="Q281" s="2086"/>
      <c r="R281" s="2086"/>
      <c r="S281" s="2086"/>
      <c r="T281" s="2086"/>
      <c r="U281" s="2086"/>
      <c r="V281" s="2086"/>
      <c r="W281" s="2086"/>
      <c r="X281" s="2086"/>
      <c r="Y281" s="2086"/>
      <c r="Z281" s="2086"/>
      <c r="AA281" s="2086"/>
      <c r="AB281" s="2086"/>
      <c r="AC281" s="2086"/>
      <c r="AD281" s="2086"/>
      <c r="AE281" s="2086"/>
      <c r="AF281" s="2086"/>
      <c r="AG281" s="2086"/>
      <c r="AH281" s="2086"/>
      <c r="AI281" s="2086"/>
      <c r="AJ281" s="2086"/>
      <c r="AK281" s="2086"/>
      <c r="AL281" s="2086"/>
      <c r="AM281" s="144"/>
      <c r="AN281" s="144"/>
      <c r="AO281" s="144"/>
      <c r="AP281" s="144"/>
      <c r="AQ281" s="144"/>
      <c r="AR281" s="144"/>
      <c r="AS281" s="144"/>
      <c r="AT281" s="144"/>
      <c r="AU281" s="144"/>
      <c r="AV281" s="144"/>
      <c r="AW281" s="144"/>
      <c r="AX281" s="144"/>
      <c r="AY281" s="144"/>
      <c r="BN281" s="61"/>
    </row>
    <row r="282" spans="1:66" ht="13.5" thickBot="1">
      <c r="A282" s="2087"/>
      <c r="B282" s="2087"/>
      <c r="C282" s="2087"/>
      <c r="D282" s="2087"/>
      <c r="E282" s="2087"/>
      <c r="F282" s="2087"/>
      <c r="G282" s="2087"/>
      <c r="H282" s="2087"/>
      <c r="I282" s="2087"/>
      <c r="J282" s="2087"/>
      <c r="K282" s="2087"/>
      <c r="L282" s="2087"/>
      <c r="M282" s="2087"/>
      <c r="N282" s="2087"/>
      <c r="O282" s="2087"/>
      <c r="P282" s="2087"/>
      <c r="Q282" s="2087"/>
      <c r="R282" s="2087"/>
      <c r="S282" s="2087"/>
      <c r="T282" s="2087"/>
      <c r="U282" s="2087"/>
      <c r="V282" s="2087"/>
      <c r="W282" s="2087"/>
      <c r="X282" s="2087"/>
      <c r="Y282" s="2087"/>
      <c r="Z282" s="2087"/>
      <c r="AA282" s="2087"/>
      <c r="AB282" s="2087"/>
      <c r="AC282" s="2087"/>
      <c r="AD282" s="2087"/>
      <c r="AE282" s="2087"/>
      <c r="AF282" s="2087"/>
      <c r="AG282" s="2087"/>
      <c r="AH282" s="2087"/>
      <c r="AI282" s="2087"/>
      <c r="AJ282" s="2087"/>
      <c r="AK282" s="2087"/>
      <c r="AL282" s="208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40" t="s">
        <v>2544</v>
      </c>
      <c r="I286" s="2040"/>
      <c r="J286" s="2040"/>
      <c r="K286" s="2040"/>
      <c r="L286" s="2040"/>
      <c r="M286" s="2040"/>
      <c r="N286" s="2040"/>
      <c r="O286" s="2040"/>
      <c r="P286" s="2040"/>
      <c r="Q286" s="2040"/>
      <c r="R286" s="2040"/>
      <c r="T286" s="58" t="s">
        <v>599</v>
      </c>
      <c r="V286" s="58"/>
      <c r="W286" s="58"/>
      <c r="X286" s="58"/>
      <c r="Y286" s="58"/>
      <c r="AA286" s="2040" t="s">
        <v>2545</v>
      </c>
      <c r="AB286" s="2040"/>
      <c r="AC286" s="2040"/>
      <c r="AD286" s="2040"/>
      <c r="AE286" s="2040"/>
      <c r="AF286" s="2040"/>
      <c r="AG286" s="2040"/>
      <c r="AH286" s="2040"/>
      <c r="AI286" s="2040"/>
      <c r="AJ286" s="2040"/>
      <c r="AK286" s="2040"/>
      <c r="BN286" s="61"/>
    </row>
    <row r="287" spans="1:66" ht="12.75">
      <c r="B287" s="58" t="s">
        <v>503</v>
      </c>
      <c r="C287" s="58"/>
      <c r="D287" s="58"/>
      <c r="E287" s="58"/>
      <c r="F287" s="58"/>
      <c r="H287" s="2032" t="s">
        <v>2529</v>
      </c>
      <c r="I287" s="2032"/>
      <c r="J287" s="2032"/>
      <c r="K287" s="2032"/>
      <c r="L287" s="2032"/>
      <c r="M287" s="2032"/>
      <c r="N287" s="2032"/>
      <c r="O287" s="2032"/>
      <c r="P287" s="2032"/>
      <c r="Q287" s="2032"/>
      <c r="R287" s="2032"/>
      <c r="T287" s="58" t="s">
        <v>503</v>
      </c>
      <c r="V287" s="58"/>
      <c r="W287" s="58"/>
      <c r="X287" s="58"/>
      <c r="Y287" s="58"/>
      <c r="AA287" s="2177" t="s">
        <v>2546</v>
      </c>
      <c r="AB287" s="2032"/>
      <c r="AC287" s="2032"/>
      <c r="AD287" s="2032"/>
      <c r="AE287" s="2032"/>
      <c r="AF287" s="2032"/>
      <c r="AG287" s="2032"/>
      <c r="AH287" s="2032"/>
      <c r="AI287" s="2032"/>
      <c r="AJ287" s="2032"/>
      <c r="AK287" s="2032"/>
      <c r="BN287" s="61"/>
    </row>
    <row r="288" spans="1:66" ht="12.75">
      <c r="B288" s="58" t="s">
        <v>504</v>
      </c>
      <c r="C288" s="58"/>
      <c r="D288" s="58"/>
      <c r="E288" s="58"/>
      <c r="F288" s="58"/>
      <c r="H288" s="2032" t="s">
        <v>2543</v>
      </c>
      <c r="I288" s="2032"/>
      <c r="J288" s="2032"/>
      <c r="K288" s="2032"/>
      <c r="L288" s="2032"/>
      <c r="M288" s="2032"/>
      <c r="N288" s="2032"/>
      <c r="O288" s="2032"/>
      <c r="P288" s="2032"/>
      <c r="Q288" s="2032"/>
      <c r="R288" s="2032"/>
      <c r="T288" s="58" t="s">
        <v>79</v>
      </c>
      <c r="V288" s="58"/>
      <c r="W288" s="58"/>
      <c r="X288" s="58"/>
      <c r="Y288" s="58"/>
      <c r="AA288" s="2177" t="s">
        <v>2547</v>
      </c>
      <c r="AB288" s="2032"/>
      <c r="AC288" s="2032"/>
      <c r="AD288" s="2032"/>
      <c r="AE288" s="2032"/>
      <c r="AF288" s="2032"/>
      <c r="AG288" s="2032"/>
      <c r="AH288" s="2032"/>
      <c r="AI288" s="2032"/>
      <c r="AJ288" s="2032"/>
      <c r="AK288" s="2032"/>
      <c r="BN288" s="61"/>
    </row>
    <row r="289" spans="2:66" ht="12.75" customHeight="1">
      <c r="B289" s="58" t="s">
        <v>92</v>
      </c>
      <c r="C289" s="58"/>
      <c r="D289" s="58"/>
      <c r="E289" s="58"/>
      <c r="F289" s="58"/>
      <c r="H289" s="2032" t="s">
        <v>2531</v>
      </c>
      <c r="I289" s="2032"/>
      <c r="J289" s="2032"/>
      <c r="K289" s="2032"/>
      <c r="L289" s="2032"/>
      <c r="M289" s="2032"/>
      <c r="N289" s="2032"/>
      <c r="O289" s="2032"/>
      <c r="P289" s="2032"/>
      <c r="Q289" s="2032"/>
      <c r="R289" s="2032"/>
      <c r="T289" s="58" t="s">
        <v>92</v>
      </c>
      <c r="V289" s="58"/>
      <c r="W289" s="58"/>
      <c r="X289" s="58"/>
      <c r="Y289" s="58"/>
      <c r="AA289" s="2177" t="s">
        <v>2548</v>
      </c>
      <c r="AB289" s="2032"/>
      <c r="AC289" s="2032"/>
      <c r="AD289" s="2032"/>
      <c r="AE289" s="2032"/>
      <c r="AF289" s="2032"/>
      <c r="AG289" s="2032"/>
      <c r="AH289" s="2032"/>
      <c r="AI289" s="2032"/>
      <c r="AJ289" s="2032"/>
      <c r="AK289" s="2032"/>
      <c r="BN289" s="61"/>
    </row>
    <row r="290" spans="2:66" ht="12.75" customHeight="1">
      <c r="B290" s="58" t="s">
        <v>93</v>
      </c>
      <c r="C290" s="58"/>
      <c r="D290" s="58"/>
      <c r="E290" s="58"/>
      <c r="F290" s="58"/>
      <c r="G290" s="58"/>
      <c r="H290" s="2214" t="s">
        <v>2532</v>
      </c>
      <c r="I290" s="2205"/>
      <c r="J290" s="2205"/>
      <c r="K290" s="2205"/>
      <c r="L290" s="2205"/>
      <c r="M290" s="2205"/>
      <c r="N290" s="7" t="s">
        <v>211</v>
      </c>
      <c r="O290" s="7"/>
      <c r="P290" s="2195"/>
      <c r="Q290" s="2195"/>
      <c r="R290" s="2195"/>
      <c r="S290" s="58"/>
      <c r="T290" s="58" t="s">
        <v>93</v>
      </c>
      <c r="V290" s="58"/>
      <c r="W290" s="58"/>
      <c r="X290" s="58"/>
      <c r="Y290" s="58"/>
      <c r="AA290" s="2214" t="s">
        <v>2549</v>
      </c>
      <c r="AB290" s="2205"/>
      <c r="AC290" s="2205"/>
      <c r="AD290" s="2205"/>
      <c r="AE290" s="2205"/>
      <c r="AF290" s="2205"/>
      <c r="AG290" s="7" t="s">
        <v>211</v>
      </c>
      <c r="AH290" s="7"/>
      <c r="AI290" s="2195"/>
      <c r="AJ290" s="2195"/>
      <c r="AK290" s="2195"/>
      <c r="BN290" s="61"/>
    </row>
    <row r="291" spans="2:66" ht="12.75" customHeight="1">
      <c r="B291" s="58" t="s">
        <v>94</v>
      </c>
      <c r="C291" s="58"/>
      <c r="D291" s="58"/>
      <c r="E291" s="58"/>
      <c r="F291" s="58"/>
      <c r="G291" s="58"/>
      <c r="H291" s="2044" t="s">
        <v>625</v>
      </c>
      <c r="I291" s="2056"/>
      <c r="J291" s="2056"/>
      <c r="K291" s="2056"/>
      <c r="L291" s="2056"/>
      <c r="M291" s="2056"/>
      <c r="N291" s="60"/>
      <c r="O291" s="60"/>
      <c r="P291" s="62"/>
      <c r="Q291" s="62"/>
      <c r="R291" s="62"/>
      <c r="S291" s="58"/>
      <c r="T291" s="58" t="s">
        <v>94</v>
      </c>
      <c r="V291" s="58"/>
      <c r="W291" s="58"/>
      <c r="X291" s="58"/>
      <c r="Y291" s="58"/>
      <c r="AA291" s="2044" t="s">
        <v>2550</v>
      </c>
      <c r="AB291" s="2056"/>
      <c r="AC291" s="2056"/>
      <c r="AD291" s="2056"/>
      <c r="AE291" s="2056"/>
      <c r="AF291" s="2056"/>
      <c r="AG291" s="60"/>
      <c r="AH291" s="60"/>
      <c r="AI291" s="62"/>
      <c r="AJ291" s="62"/>
      <c r="AK291" s="62"/>
      <c r="BN291" s="61"/>
    </row>
    <row r="292" spans="2:66" ht="12.75" customHeight="1">
      <c r="B292" s="58" t="s">
        <v>80</v>
      </c>
      <c r="C292" s="58"/>
      <c r="D292" s="58"/>
      <c r="E292" s="58"/>
      <c r="F292" s="58"/>
      <c r="G292" s="58"/>
      <c r="H292" s="2032" t="s">
        <v>2533</v>
      </c>
      <c r="I292" s="2032"/>
      <c r="J292" s="2032"/>
      <c r="K292" s="2032"/>
      <c r="L292" s="2032"/>
      <c r="M292" s="2032"/>
      <c r="N292" s="2040"/>
      <c r="O292" s="2040"/>
      <c r="P292" s="2040"/>
      <c r="Q292" s="2040"/>
      <c r="R292" s="2040"/>
      <c r="S292" s="58"/>
      <c r="T292" s="58" t="s">
        <v>80</v>
      </c>
      <c r="V292" s="58"/>
      <c r="W292" s="58"/>
      <c r="X292" s="58"/>
      <c r="Y292" s="58"/>
      <c r="AA292" s="2177" t="s">
        <v>2551</v>
      </c>
      <c r="AB292" s="2032"/>
      <c r="AC292" s="2032"/>
      <c r="AD292" s="2032"/>
      <c r="AE292" s="2032"/>
      <c r="AF292" s="2032"/>
      <c r="AG292" s="2040"/>
      <c r="AH292" s="2040"/>
      <c r="AI292" s="2040"/>
      <c r="AJ292" s="2040"/>
      <c r="AK292" s="204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43" t="s">
        <v>2552</v>
      </c>
      <c r="I294" s="2040"/>
      <c r="J294" s="2040"/>
      <c r="K294" s="2040"/>
      <c r="L294" s="2040"/>
      <c r="M294" s="2040"/>
      <c r="N294" s="2040"/>
      <c r="O294" s="2040"/>
      <c r="P294" s="2040"/>
      <c r="Q294" s="2040"/>
      <c r="R294" s="2040"/>
      <c r="T294" s="58" t="s">
        <v>373</v>
      </c>
      <c r="V294" s="58"/>
      <c r="W294" s="58"/>
      <c r="X294" s="58"/>
      <c r="Y294" s="58"/>
      <c r="AA294" s="2043" t="s">
        <v>2558</v>
      </c>
      <c r="AB294" s="2040"/>
      <c r="AC294" s="2040"/>
      <c r="AD294" s="2040"/>
      <c r="AE294" s="2040"/>
      <c r="AF294" s="2040"/>
      <c r="AG294" s="2040"/>
      <c r="AH294" s="2040"/>
      <c r="AI294" s="2040"/>
      <c r="AJ294" s="2040"/>
      <c r="AK294" s="2040"/>
      <c r="BN294" s="61"/>
    </row>
    <row r="295" spans="2:66" ht="12.75">
      <c r="B295" s="58" t="s">
        <v>503</v>
      </c>
      <c r="C295" s="58"/>
      <c r="D295" s="58"/>
      <c r="E295" s="58"/>
      <c r="F295" s="58"/>
      <c r="H295" s="2177" t="s">
        <v>2553</v>
      </c>
      <c r="I295" s="2032"/>
      <c r="J295" s="2032"/>
      <c r="K295" s="2032"/>
      <c r="L295" s="2032"/>
      <c r="M295" s="2032"/>
      <c r="N295" s="2032"/>
      <c r="O295" s="2032"/>
      <c r="P295" s="2032"/>
      <c r="Q295" s="2032"/>
      <c r="R295" s="2032"/>
      <c r="T295" s="58" t="s">
        <v>503</v>
      </c>
      <c r="V295" s="58"/>
      <c r="W295" s="58"/>
      <c r="X295" s="58"/>
      <c r="Y295" s="58"/>
      <c r="AA295" s="2177" t="s">
        <v>2559</v>
      </c>
      <c r="AB295" s="2032"/>
      <c r="AC295" s="2032"/>
      <c r="AD295" s="2032"/>
      <c r="AE295" s="2032"/>
      <c r="AF295" s="2032"/>
      <c r="AG295" s="2032"/>
      <c r="AH295" s="2032"/>
      <c r="AI295" s="2032"/>
      <c r="AJ295" s="2032"/>
      <c r="AK295" s="2032"/>
      <c r="BN295" s="61"/>
    </row>
    <row r="296" spans="2:66" ht="12.75">
      <c r="B296" s="58" t="s">
        <v>504</v>
      </c>
      <c r="C296" s="58"/>
      <c r="D296" s="58"/>
      <c r="E296" s="58"/>
      <c r="F296" s="58"/>
      <c r="H296" s="2177" t="s">
        <v>2554</v>
      </c>
      <c r="I296" s="2032"/>
      <c r="J296" s="2032"/>
      <c r="K296" s="2032"/>
      <c r="L296" s="2032"/>
      <c r="M296" s="2032"/>
      <c r="N296" s="2032"/>
      <c r="O296" s="2032"/>
      <c r="P296" s="2032"/>
      <c r="Q296" s="2032"/>
      <c r="R296" s="2032"/>
      <c r="T296" s="58" t="s">
        <v>79</v>
      </c>
      <c r="V296" s="58"/>
      <c r="W296" s="58"/>
      <c r="X296" s="58"/>
      <c r="Y296" s="58"/>
      <c r="AA296" s="2177" t="s">
        <v>2560</v>
      </c>
      <c r="AB296" s="2032"/>
      <c r="AC296" s="2032"/>
      <c r="AD296" s="2032"/>
      <c r="AE296" s="2032"/>
      <c r="AF296" s="2032"/>
      <c r="AG296" s="2032"/>
      <c r="AH296" s="2032"/>
      <c r="AI296" s="2032"/>
      <c r="AJ296" s="2032"/>
      <c r="AK296" s="2032"/>
      <c r="BN296" s="61"/>
    </row>
    <row r="297" spans="2:66" ht="12.75">
      <c r="B297" s="58" t="s">
        <v>92</v>
      </c>
      <c r="C297" s="58"/>
      <c r="D297" s="58"/>
      <c r="E297" s="58"/>
      <c r="F297" s="58"/>
      <c r="H297" s="2177" t="s">
        <v>2555</v>
      </c>
      <c r="I297" s="2032"/>
      <c r="J297" s="2032"/>
      <c r="K297" s="2032"/>
      <c r="L297" s="2032"/>
      <c r="M297" s="2032"/>
      <c r="N297" s="2032"/>
      <c r="O297" s="2032"/>
      <c r="P297" s="2032"/>
      <c r="Q297" s="2032"/>
      <c r="R297" s="2032"/>
      <c r="T297" s="58" t="s">
        <v>92</v>
      </c>
      <c r="V297" s="58"/>
      <c r="W297" s="58"/>
      <c r="X297" s="58"/>
      <c r="Y297" s="58"/>
      <c r="AA297" s="2177" t="s">
        <v>2561</v>
      </c>
      <c r="AB297" s="2032"/>
      <c r="AC297" s="2032"/>
      <c r="AD297" s="2032"/>
      <c r="AE297" s="2032"/>
      <c r="AF297" s="2032"/>
      <c r="AG297" s="2032"/>
      <c r="AH297" s="2032"/>
      <c r="AI297" s="2032"/>
      <c r="AJ297" s="2032"/>
      <c r="AK297" s="2032"/>
      <c r="BN297" s="61"/>
    </row>
    <row r="298" spans="2:66" ht="12.75">
      <c r="B298" s="58" t="s">
        <v>93</v>
      </c>
      <c r="C298" s="58"/>
      <c r="D298" s="58"/>
      <c r="E298" s="58"/>
      <c r="F298" s="58"/>
      <c r="G298" s="58"/>
      <c r="H298" s="2214" t="s">
        <v>2556</v>
      </c>
      <c r="I298" s="2205"/>
      <c r="J298" s="2205"/>
      <c r="K298" s="2205"/>
      <c r="L298" s="2205"/>
      <c r="M298" s="2205"/>
      <c r="N298" s="7" t="s">
        <v>211</v>
      </c>
      <c r="O298" s="7"/>
      <c r="P298" s="2195"/>
      <c r="Q298" s="2195"/>
      <c r="R298" s="2195"/>
      <c r="S298" s="58"/>
      <c r="T298" s="58" t="s">
        <v>93</v>
      </c>
      <c r="V298" s="58"/>
      <c r="W298" s="58"/>
      <c r="X298" s="58"/>
      <c r="Y298" s="58"/>
      <c r="AA298" s="2214" t="s">
        <v>2562</v>
      </c>
      <c r="AB298" s="2205"/>
      <c r="AC298" s="2205"/>
      <c r="AD298" s="2205"/>
      <c r="AE298" s="2205"/>
      <c r="AF298" s="2205"/>
      <c r="AG298" s="7" t="s">
        <v>211</v>
      </c>
      <c r="AH298" s="7"/>
      <c r="AI298" s="2195"/>
      <c r="AJ298" s="2195"/>
      <c r="AK298" s="2195"/>
      <c r="BN298" s="61"/>
    </row>
    <row r="299" spans="2:66" ht="12.75" customHeight="1">
      <c r="B299" s="58" t="s">
        <v>94</v>
      </c>
      <c r="C299" s="58"/>
      <c r="D299" s="58"/>
      <c r="E299" s="58"/>
      <c r="F299" s="58"/>
      <c r="G299" s="58"/>
      <c r="H299" s="2044" t="s">
        <v>625</v>
      </c>
      <c r="I299" s="2056"/>
      <c r="J299" s="2056"/>
      <c r="K299" s="2056"/>
      <c r="L299" s="2056"/>
      <c r="M299" s="2056"/>
      <c r="N299" s="60"/>
      <c r="O299" s="60"/>
      <c r="P299" s="62"/>
      <c r="Q299" s="62"/>
      <c r="R299" s="62"/>
      <c r="S299" s="58"/>
      <c r="T299" s="58" t="s">
        <v>94</v>
      </c>
      <c r="V299" s="58"/>
      <c r="W299" s="58"/>
      <c r="X299" s="58"/>
      <c r="Y299" s="58"/>
      <c r="AA299" s="2044" t="s">
        <v>625</v>
      </c>
      <c r="AB299" s="2056"/>
      <c r="AC299" s="2056"/>
      <c r="AD299" s="2056"/>
      <c r="AE299" s="2056"/>
      <c r="AF299" s="2056"/>
      <c r="AG299" s="60"/>
      <c r="AH299" s="60"/>
      <c r="AI299" s="62"/>
      <c r="AJ299" s="62"/>
      <c r="AK299" s="62"/>
      <c r="BN299" s="61"/>
    </row>
    <row r="300" spans="2:66" ht="12.75" customHeight="1">
      <c r="B300" s="58" t="s">
        <v>80</v>
      </c>
      <c r="C300" s="58"/>
      <c r="D300" s="58"/>
      <c r="E300" s="58"/>
      <c r="F300" s="58"/>
      <c r="G300" s="58"/>
      <c r="H300" s="2177" t="s">
        <v>2557</v>
      </c>
      <c r="I300" s="2032"/>
      <c r="J300" s="2032"/>
      <c r="K300" s="2032"/>
      <c r="L300" s="2032"/>
      <c r="M300" s="2032"/>
      <c r="N300" s="2040"/>
      <c r="O300" s="2040"/>
      <c r="P300" s="2040"/>
      <c r="Q300" s="2040"/>
      <c r="R300" s="2040"/>
      <c r="S300" s="58"/>
      <c r="T300" s="58" t="s">
        <v>80</v>
      </c>
      <c r="V300" s="58"/>
      <c r="W300" s="58"/>
      <c r="X300" s="58"/>
      <c r="Y300" s="58"/>
      <c r="AA300" s="2177" t="s">
        <v>2563</v>
      </c>
      <c r="AB300" s="2032"/>
      <c r="AC300" s="2032"/>
      <c r="AD300" s="2032"/>
      <c r="AE300" s="2032"/>
      <c r="AF300" s="2032"/>
      <c r="AG300" s="2040"/>
      <c r="AH300" s="2040"/>
      <c r="AI300" s="2040"/>
      <c r="AJ300" s="2040"/>
      <c r="AK300" s="2040"/>
      <c r="BN300" s="61"/>
    </row>
    <row r="301" spans="2:66" ht="12.75" customHeight="1">
      <c r="BN301" s="61"/>
    </row>
    <row r="302" spans="2:66" ht="12.75" customHeight="1">
      <c r="B302" s="58" t="s">
        <v>81</v>
      </c>
      <c r="C302" s="58"/>
      <c r="D302" s="58"/>
      <c r="E302" s="58"/>
      <c r="F302" s="58"/>
      <c r="H302" s="2043" t="s">
        <v>2552</v>
      </c>
      <c r="I302" s="2040"/>
      <c r="J302" s="2040"/>
      <c r="K302" s="2040"/>
      <c r="L302" s="2040"/>
      <c r="M302" s="2040"/>
      <c r="N302" s="2040"/>
      <c r="O302" s="2040"/>
      <c r="P302" s="2040"/>
      <c r="Q302" s="2040"/>
      <c r="R302" s="2040"/>
      <c r="T302" s="7" t="s">
        <v>942</v>
      </c>
      <c r="V302" s="58"/>
      <c r="W302" s="58"/>
      <c r="X302" s="58"/>
      <c r="Y302" s="58"/>
      <c r="AA302" s="2043" t="s">
        <v>2567</v>
      </c>
      <c r="AB302" s="2040"/>
      <c r="AC302" s="2040"/>
      <c r="AD302" s="2040"/>
      <c r="AE302" s="2040"/>
      <c r="AF302" s="2040"/>
      <c r="AG302" s="2040"/>
      <c r="AH302" s="2040"/>
      <c r="AI302" s="2040"/>
      <c r="AJ302" s="2040"/>
      <c r="AK302" s="2040"/>
      <c r="BN302" s="61"/>
    </row>
    <row r="303" spans="2:66" ht="12.75">
      <c r="B303" s="58" t="s">
        <v>503</v>
      </c>
      <c r="C303" s="58"/>
      <c r="D303" s="58"/>
      <c r="E303" s="58"/>
      <c r="F303" s="58"/>
      <c r="H303" s="2177" t="s">
        <v>2553</v>
      </c>
      <c r="I303" s="2032"/>
      <c r="J303" s="2032"/>
      <c r="K303" s="2032"/>
      <c r="L303" s="2032"/>
      <c r="M303" s="2032"/>
      <c r="N303" s="2032"/>
      <c r="O303" s="2032"/>
      <c r="P303" s="2032"/>
      <c r="Q303" s="2032"/>
      <c r="R303" s="2032"/>
      <c r="T303" s="58" t="s">
        <v>503</v>
      </c>
      <c r="V303" s="58"/>
      <c r="W303" s="58"/>
      <c r="X303" s="58"/>
      <c r="Y303" s="58"/>
      <c r="AA303" s="2177" t="s">
        <v>2565</v>
      </c>
      <c r="AB303" s="2032"/>
      <c r="AC303" s="2032"/>
      <c r="AD303" s="2032"/>
      <c r="AE303" s="2032"/>
      <c r="AF303" s="2032"/>
      <c r="AG303" s="2032"/>
      <c r="AH303" s="2032"/>
      <c r="AI303" s="2032"/>
      <c r="AJ303" s="2032"/>
      <c r="AK303" s="2032"/>
      <c r="BN303" s="61"/>
    </row>
    <row r="304" spans="2:66" ht="12.75">
      <c r="B304" s="58" t="s">
        <v>504</v>
      </c>
      <c r="C304" s="58"/>
      <c r="D304" s="58"/>
      <c r="E304" s="58"/>
      <c r="F304" s="58"/>
      <c r="H304" s="2177" t="s">
        <v>2554</v>
      </c>
      <c r="I304" s="2032"/>
      <c r="J304" s="2032"/>
      <c r="K304" s="2032"/>
      <c r="L304" s="2032"/>
      <c r="M304" s="2032"/>
      <c r="N304" s="2032"/>
      <c r="O304" s="2032"/>
      <c r="P304" s="2032"/>
      <c r="Q304" s="2032"/>
      <c r="R304" s="2032"/>
      <c r="T304" s="58" t="s">
        <v>79</v>
      </c>
      <c r="V304" s="58"/>
      <c r="W304" s="58"/>
      <c r="X304" s="58"/>
      <c r="Y304" s="58"/>
      <c r="AA304" s="2177" t="s">
        <v>2566</v>
      </c>
      <c r="AB304" s="2032"/>
      <c r="AC304" s="2032"/>
      <c r="AD304" s="2032"/>
      <c r="AE304" s="2032"/>
      <c r="AF304" s="2032"/>
      <c r="AG304" s="2032"/>
      <c r="AH304" s="2032"/>
      <c r="AI304" s="2032"/>
      <c r="AJ304" s="2032"/>
      <c r="AK304" s="2032"/>
      <c r="BN304" s="61"/>
    </row>
    <row r="305" spans="2:66" ht="12.75">
      <c r="B305" s="58" t="s">
        <v>92</v>
      </c>
      <c r="C305" s="58"/>
      <c r="D305" s="58"/>
      <c r="E305" s="58"/>
      <c r="F305" s="58"/>
      <c r="H305" s="2177" t="s">
        <v>2555</v>
      </c>
      <c r="I305" s="2032"/>
      <c r="J305" s="2032"/>
      <c r="K305" s="2032"/>
      <c r="L305" s="2032"/>
      <c r="M305" s="2032"/>
      <c r="N305" s="2032"/>
      <c r="O305" s="2032"/>
      <c r="P305" s="2032"/>
      <c r="Q305" s="2032"/>
      <c r="R305" s="2032"/>
      <c r="T305" s="58" t="s">
        <v>92</v>
      </c>
      <c r="V305" s="58"/>
      <c r="W305" s="58"/>
      <c r="X305" s="58"/>
      <c r="Y305" s="58"/>
      <c r="AA305" s="2043" t="s">
        <v>2564</v>
      </c>
      <c r="AB305" s="2040"/>
      <c r="AC305" s="2040"/>
      <c r="AD305" s="2040"/>
      <c r="AE305" s="2040"/>
      <c r="AF305" s="2040"/>
      <c r="AG305" s="2040"/>
      <c r="AH305" s="2040"/>
      <c r="AI305" s="2040"/>
      <c r="AJ305" s="2040"/>
      <c r="AK305" s="2040"/>
      <c r="BN305" s="61"/>
    </row>
    <row r="306" spans="2:66" ht="12.75">
      <c r="B306" s="58" t="s">
        <v>93</v>
      </c>
      <c r="C306" s="58"/>
      <c r="D306" s="58"/>
      <c r="E306" s="58"/>
      <c r="F306" s="58"/>
      <c r="G306" s="58"/>
      <c r="H306" s="2214" t="s">
        <v>2556</v>
      </c>
      <c r="I306" s="2205"/>
      <c r="J306" s="2205"/>
      <c r="K306" s="2205"/>
      <c r="L306" s="2205"/>
      <c r="M306" s="2205"/>
      <c r="N306" s="7" t="s">
        <v>211</v>
      </c>
      <c r="O306" s="7"/>
      <c r="P306" s="2195"/>
      <c r="Q306" s="2195"/>
      <c r="R306" s="2195"/>
      <c r="S306" s="58"/>
      <c r="T306" s="58" t="s">
        <v>93</v>
      </c>
      <c r="V306" s="58"/>
      <c r="W306" s="58"/>
      <c r="X306" s="58"/>
      <c r="Y306" s="58"/>
      <c r="AA306" s="2214" t="s">
        <v>2568</v>
      </c>
      <c r="AB306" s="2205"/>
      <c r="AC306" s="2205"/>
      <c r="AD306" s="2205"/>
      <c r="AE306" s="2205"/>
      <c r="AF306" s="2205"/>
      <c r="AG306" s="7" t="s">
        <v>211</v>
      </c>
      <c r="AH306" s="7"/>
      <c r="AI306" s="2195"/>
      <c r="AJ306" s="2195"/>
      <c r="AK306" s="2195"/>
      <c r="BN306" s="61"/>
    </row>
    <row r="307" spans="2:66" ht="12.75">
      <c r="B307" s="58" t="s">
        <v>94</v>
      </c>
      <c r="C307" s="58"/>
      <c r="D307" s="58"/>
      <c r="E307" s="58"/>
      <c r="F307" s="58"/>
      <c r="G307" s="58"/>
      <c r="H307" s="2044" t="s">
        <v>625</v>
      </c>
      <c r="I307" s="2056"/>
      <c r="J307" s="2056"/>
      <c r="K307" s="2056"/>
      <c r="L307" s="2056"/>
      <c r="M307" s="2056"/>
      <c r="N307" s="60"/>
      <c r="O307" s="60"/>
      <c r="P307" s="62"/>
      <c r="Q307" s="62"/>
      <c r="R307" s="62"/>
      <c r="S307" s="58"/>
      <c r="T307" s="58" t="s">
        <v>94</v>
      </c>
      <c r="V307" s="58"/>
      <c r="W307" s="58"/>
      <c r="X307" s="58"/>
      <c r="Y307" s="58"/>
      <c r="AA307" s="2044" t="s">
        <v>625</v>
      </c>
      <c r="AB307" s="2056"/>
      <c r="AC307" s="2056"/>
      <c r="AD307" s="2056"/>
      <c r="AE307" s="2056"/>
      <c r="AF307" s="2056"/>
      <c r="AG307" s="60"/>
      <c r="AH307" s="60"/>
      <c r="AI307" s="62"/>
      <c r="AJ307" s="62"/>
      <c r="AK307" s="62"/>
      <c r="BN307" s="61"/>
    </row>
    <row r="308" spans="2:66" ht="12.75">
      <c r="B308" s="58" t="s">
        <v>80</v>
      </c>
      <c r="C308" s="58"/>
      <c r="D308" s="58"/>
      <c r="E308" s="58"/>
      <c r="F308" s="58"/>
      <c r="G308" s="58"/>
      <c r="H308" s="2177" t="s">
        <v>2557</v>
      </c>
      <c r="I308" s="2032"/>
      <c r="J308" s="2032"/>
      <c r="K308" s="2032"/>
      <c r="L308" s="2032"/>
      <c r="M308" s="2032"/>
      <c r="N308" s="2040"/>
      <c r="O308" s="2040"/>
      <c r="P308" s="2040"/>
      <c r="Q308" s="2040"/>
      <c r="R308" s="2040"/>
      <c r="S308" s="58"/>
      <c r="T308" s="58" t="s">
        <v>80</v>
      </c>
      <c r="V308" s="58"/>
      <c r="W308" s="58"/>
      <c r="X308" s="58"/>
      <c r="Y308" s="58"/>
      <c r="AA308" s="2177" t="s">
        <v>2569</v>
      </c>
      <c r="AB308" s="2032"/>
      <c r="AC308" s="2032"/>
      <c r="AD308" s="2032"/>
      <c r="AE308" s="2032"/>
      <c r="AF308" s="2032"/>
      <c r="AG308" s="2040"/>
      <c r="AH308" s="2040"/>
      <c r="AI308" s="2040"/>
      <c r="AJ308" s="2040"/>
      <c r="AK308" s="2040"/>
      <c r="BN308" s="61"/>
    </row>
    <row r="309" spans="2:66" ht="12.75">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40"/>
      <c r="I310" s="2040"/>
      <c r="J310" s="2040"/>
      <c r="K310" s="2040"/>
      <c r="L310" s="2040"/>
      <c r="M310" s="2040"/>
      <c r="N310" s="2040"/>
      <c r="O310" s="2040"/>
      <c r="P310" s="2040"/>
      <c r="Q310" s="2040"/>
      <c r="R310" s="2040"/>
      <c r="S310" s="58"/>
      <c r="T310" s="58" t="s">
        <v>374</v>
      </c>
      <c r="V310" s="58"/>
      <c r="W310" s="58"/>
      <c r="X310" s="58"/>
      <c r="Y310" s="58"/>
      <c r="AA310" s="2043" t="s">
        <v>2570</v>
      </c>
      <c r="AB310" s="2040"/>
      <c r="AC310" s="2040"/>
      <c r="AD310" s="2040"/>
      <c r="AE310" s="2040"/>
      <c r="AF310" s="2040"/>
      <c r="AG310" s="2040"/>
      <c r="AH310" s="2040"/>
      <c r="AI310" s="2040"/>
      <c r="AJ310" s="2040"/>
      <c r="AK310" s="2040"/>
      <c r="BN310" s="61"/>
    </row>
    <row r="311" spans="2:66" ht="12.75">
      <c r="B311" s="58" t="s">
        <v>503</v>
      </c>
      <c r="C311" s="58"/>
      <c r="D311" s="58"/>
      <c r="E311" s="58"/>
      <c r="F311" s="58"/>
      <c r="H311" s="2032"/>
      <c r="I311" s="2032"/>
      <c r="J311" s="2032"/>
      <c r="K311" s="2032"/>
      <c r="L311" s="2032"/>
      <c r="M311" s="2032"/>
      <c r="N311" s="2032"/>
      <c r="O311" s="2032"/>
      <c r="P311" s="2032"/>
      <c r="Q311" s="2032"/>
      <c r="R311" s="2032"/>
      <c r="S311" s="58"/>
      <c r="T311" s="58" t="s">
        <v>503</v>
      </c>
      <c r="V311" s="58"/>
      <c r="W311" s="58"/>
      <c r="X311" s="58"/>
      <c r="Y311" s="58"/>
      <c r="AA311" s="2032"/>
      <c r="AB311" s="2032"/>
      <c r="AC311" s="2032"/>
      <c r="AD311" s="2032"/>
      <c r="AE311" s="2032"/>
      <c r="AF311" s="2032"/>
      <c r="AG311" s="2032"/>
      <c r="AH311" s="2032"/>
      <c r="AI311" s="2032"/>
      <c r="AJ311" s="2032"/>
      <c r="AK311" s="2032"/>
      <c r="BN311" s="61"/>
    </row>
    <row r="312" spans="2:66" ht="12.75" customHeight="1">
      <c r="B312" s="58" t="s">
        <v>504</v>
      </c>
      <c r="C312" s="58"/>
      <c r="D312" s="58"/>
      <c r="E312" s="58"/>
      <c r="F312" s="58"/>
      <c r="H312" s="2032"/>
      <c r="I312" s="2032"/>
      <c r="J312" s="2032"/>
      <c r="K312" s="2032"/>
      <c r="L312" s="2032"/>
      <c r="M312" s="2032"/>
      <c r="N312" s="2032"/>
      <c r="O312" s="2032"/>
      <c r="P312" s="2032"/>
      <c r="Q312" s="2032"/>
      <c r="R312" s="2032"/>
      <c r="S312" s="58"/>
      <c r="T312" s="58" t="s">
        <v>79</v>
      </c>
      <c r="V312" s="58"/>
      <c r="W312" s="58"/>
      <c r="X312" s="58"/>
      <c r="Y312" s="58"/>
      <c r="AA312" s="2032"/>
      <c r="AB312" s="2032"/>
      <c r="AC312" s="2032"/>
      <c r="AD312" s="2032"/>
      <c r="AE312" s="2032"/>
      <c r="AF312" s="2032"/>
      <c r="AG312" s="2032"/>
      <c r="AH312" s="2032"/>
      <c r="AI312" s="2032"/>
      <c r="AJ312" s="2032"/>
      <c r="AK312" s="2032"/>
      <c r="BN312" s="61"/>
    </row>
    <row r="313" spans="2:66" ht="12.75">
      <c r="B313" s="58" t="s">
        <v>92</v>
      </c>
      <c r="C313" s="58"/>
      <c r="D313" s="58"/>
      <c r="E313" s="58"/>
      <c r="F313" s="58"/>
      <c r="H313" s="2032"/>
      <c r="I313" s="2032"/>
      <c r="J313" s="2032"/>
      <c r="K313" s="2032"/>
      <c r="L313" s="2032"/>
      <c r="M313" s="2032"/>
      <c r="N313" s="2032"/>
      <c r="O313" s="2032"/>
      <c r="P313" s="2032"/>
      <c r="Q313" s="2032"/>
      <c r="R313" s="2032"/>
      <c r="S313" s="58"/>
      <c r="T313" s="58" t="s">
        <v>92</v>
      </c>
      <c r="V313" s="58"/>
      <c r="W313" s="58"/>
      <c r="X313" s="58"/>
      <c r="Y313" s="58"/>
      <c r="AA313" s="2032"/>
      <c r="AB313" s="2032"/>
      <c r="AC313" s="2032"/>
      <c r="AD313" s="2032"/>
      <c r="AE313" s="2032"/>
      <c r="AF313" s="2032"/>
      <c r="AG313" s="2032"/>
      <c r="AH313" s="2032"/>
      <c r="AI313" s="2032"/>
      <c r="AJ313" s="2032"/>
      <c r="AK313" s="2032"/>
      <c r="BN313" s="61"/>
    </row>
    <row r="314" spans="2:66" ht="12.75">
      <c r="B314" s="58" t="s">
        <v>93</v>
      </c>
      <c r="C314" s="58"/>
      <c r="D314" s="58"/>
      <c r="E314" s="58"/>
      <c r="F314" s="58"/>
      <c r="G314" s="58"/>
      <c r="H314" s="2205"/>
      <c r="I314" s="2205"/>
      <c r="J314" s="2205"/>
      <c r="K314" s="2205"/>
      <c r="L314" s="2205"/>
      <c r="M314" s="2205"/>
      <c r="N314" s="7" t="s">
        <v>211</v>
      </c>
      <c r="O314" s="7"/>
      <c r="P314" s="2195"/>
      <c r="Q314" s="2195"/>
      <c r="R314" s="2195"/>
      <c r="S314" s="58"/>
      <c r="T314" s="58" t="s">
        <v>93</v>
      </c>
      <c r="V314" s="58"/>
      <c r="W314" s="58"/>
      <c r="X314" s="58"/>
      <c r="Y314" s="58"/>
      <c r="AA314" s="2205"/>
      <c r="AB314" s="2205"/>
      <c r="AC314" s="2205"/>
      <c r="AD314" s="2205"/>
      <c r="AE314" s="2205"/>
      <c r="AF314" s="2205"/>
      <c r="AG314" s="7" t="s">
        <v>211</v>
      </c>
      <c r="AH314" s="7"/>
      <c r="AI314" s="2195"/>
      <c r="AJ314" s="2195"/>
      <c r="AK314" s="2195"/>
      <c r="BN314" s="61"/>
    </row>
    <row r="315" spans="2:66" ht="12.75">
      <c r="B315" s="58" t="s">
        <v>94</v>
      </c>
      <c r="C315" s="58"/>
      <c r="D315" s="58"/>
      <c r="E315" s="58"/>
      <c r="F315" s="58"/>
      <c r="G315" s="58"/>
      <c r="H315" s="2056"/>
      <c r="I315" s="2056"/>
      <c r="J315" s="2056"/>
      <c r="K315" s="2056"/>
      <c r="L315" s="2056"/>
      <c r="M315" s="2056"/>
      <c r="N315" s="60"/>
      <c r="O315" s="60"/>
      <c r="P315" s="62"/>
      <c r="Q315" s="62"/>
      <c r="R315" s="62"/>
      <c r="S315" s="58"/>
      <c r="T315" s="58" t="s">
        <v>94</v>
      </c>
      <c r="V315" s="58"/>
      <c r="W315" s="58"/>
      <c r="X315" s="58"/>
      <c r="Y315" s="58"/>
      <c r="AA315" s="2056"/>
      <c r="AB315" s="2056"/>
      <c r="AC315" s="2056"/>
      <c r="AD315" s="2056"/>
      <c r="AE315" s="2056"/>
      <c r="AF315" s="2056"/>
      <c r="AG315" s="60"/>
      <c r="AH315" s="60"/>
      <c r="AI315" s="62"/>
      <c r="AJ315" s="62"/>
      <c r="AK315" s="62"/>
      <c r="BN315" s="61"/>
    </row>
    <row r="316" spans="2:66" ht="12.75">
      <c r="B316" s="58" t="s">
        <v>80</v>
      </c>
      <c r="C316" s="58"/>
      <c r="D316" s="58"/>
      <c r="E316" s="58"/>
      <c r="F316" s="58"/>
      <c r="G316" s="58"/>
      <c r="H316" s="2032"/>
      <c r="I316" s="2032"/>
      <c r="J316" s="2032"/>
      <c r="K316" s="2032"/>
      <c r="L316" s="2032"/>
      <c r="M316" s="2032"/>
      <c r="N316" s="2040"/>
      <c r="O316" s="2040"/>
      <c r="P316" s="2040"/>
      <c r="Q316" s="2040"/>
      <c r="R316" s="2040"/>
      <c r="S316" s="58"/>
      <c r="T316" s="58" t="s">
        <v>80</v>
      </c>
      <c r="V316" s="58"/>
      <c r="W316" s="58"/>
      <c r="X316" s="58"/>
      <c r="Y316" s="58"/>
      <c r="AA316" s="2032"/>
      <c r="AB316" s="2032"/>
      <c r="AC316" s="2032"/>
      <c r="AD316" s="2032"/>
      <c r="AE316" s="2032"/>
      <c r="AF316" s="2032"/>
      <c r="AG316" s="2040"/>
      <c r="AH316" s="2040"/>
      <c r="AI316" s="2040"/>
      <c r="AJ316" s="2040"/>
      <c r="AK316" s="2040"/>
      <c r="BN316" s="61"/>
    </row>
    <row r="317" spans="2:66" ht="12.75">
      <c r="BN317" s="61"/>
    </row>
    <row r="318" spans="2:66" ht="12.75">
      <c r="B318" s="7" t="s">
        <v>976</v>
      </c>
      <c r="C318" s="58"/>
      <c r="D318" s="58"/>
      <c r="E318" s="58"/>
      <c r="F318" s="58"/>
      <c r="H318" s="2043" t="s">
        <v>2592</v>
      </c>
      <c r="I318" s="2040"/>
      <c r="J318" s="2040"/>
      <c r="K318" s="2040"/>
      <c r="L318" s="2040"/>
      <c r="M318" s="2040"/>
      <c r="N318" s="2040"/>
      <c r="O318" s="2040"/>
      <c r="P318" s="2040"/>
      <c r="Q318" s="2040"/>
      <c r="R318" s="2040"/>
      <c r="T318" s="58" t="s">
        <v>375</v>
      </c>
      <c r="V318" s="58"/>
      <c r="W318" s="58"/>
      <c r="X318" s="58"/>
      <c r="Y318" s="58"/>
      <c r="AA318" s="2043" t="s">
        <v>2571</v>
      </c>
      <c r="AB318" s="2040"/>
      <c r="AC318" s="2040"/>
      <c r="AD318" s="2040"/>
      <c r="AE318" s="2040"/>
      <c r="AF318" s="2040"/>
      <c r="AG318" s="2040"/>
      <c r="AH318" s="2040"/>
      <c r="AI318" s="2040"/>
      <c r="AJ318" s="2040"/>
      <c r="AK318" s="2040"/>
      <c r="BN318" s="61"/>
    </row>
    <row r="319" spans="2:66" ht="12.75">
      <c r="B319" s="58" t="s">
        <v>503</v>
      </c>
      <c r="C319" s="58"/>
      <c r="D319" s="58"/>
      <c r="E319" s="58"/>
      <c r="F319" s="58"/>
      <c r="H319" s="2177" t="s">
        <v>2593</v>
      </c>
      <c r="I319" s="2032"/>
      <c r="J319" s="2032"/>
      <c r="K319" s="2032"/>
      <c r="L319" s="2032"/>
      <c r="M319" s="2032"/>
      <c r="N319" s="2032"/>
      <c r="O319" s="2032"/>
      <c r="P319" s="2032"/>
      <c r="Q319" s="2032"/>
      <c r="R319" s="2032"/>
      <c r="T319" s="58" t="s">
        <v>503</v>
      </c>
      <c r="V319" s="58"/>
      <c r="W319" s="58"/>
      <c r="X319" s="58"/>
      <c r="Y319" s="58"/>
      <c r="AA319" s="2177" t="s">
        <v>2572</v>
      </c>
      <c r="AB319" s="2032"/>
      <c r="AC319" s="2032"/>
      <c r="AD319" s="2032"/>
      <c r="AE319" s="2032"/>
      <c r="AF319" s="2032"/>
      <c r="AG319" s="2032"/>
      <c r="AH319" s="2032"/>
      <c r="AI319" s="2032"/>
      <c r="AJ319" s="2032"/>
      <c r="AK319" s="2032"/>
      <c r="BN319" s="61"/>
    </row>
    <row r="320" spans="2:66" ht="12.75">
      <c r="B320" s="58" t="s">
        <v>504</v>
      </c>
      <c r="C320" s="58"/>
      <c r="D320" s="58"/>
      <c r="E320" s="58"/>
      <c r="F320" s="58"/>
      <c r="H320" s="2177" t="s">
        <v>2594</v>
      </c>
      <c r="I320" s="2032"/>
      <c r="J320" s="2032"/>
      <c r="K320" s="2032"/>
      <c r="L320" s="2032"/>
      <c r="M320" s="2032"/>
      <c r="N320" s="2032"/>
      <c r="O320" s="2032"/>
      <c r="P320" s="2032"/>
      <c r="Q320" s="2032"/>
      <c r="R320" s="2032"/>
      <c r="T320" s="58" t="s">
        <v>79</v>
      </c>
      <c r="V320" s="58"/>
      <c r="W320" s="58"/>
      <c r="X320" s="58"/>
      <c r="Y320" s="58"/>
      <c r="AA320" s="2177" t="s">
        <v>2573</v>
      </c>
      <c r="AB320" s="2032"/>
      <c r="AC320" s="2032"/>
      <c r="AD320" s="2032"/>
      <c r="AE320" s="2032"/>
      <c r="AF320" s="2032"/>
      <c r="AG320" s="2032"/>
      <c r="AH320" s="2032"/>
      <c r="AI320" s="2032"/>
      <c r="AJ320" s="2032"/>
      <c r="AK320" s="2032"/>
      <c r="BN320" s="61"/>
    </row>
    <row r="321" spans="1:66" ht="12.75" customHeight="1">
      <c r="A321" s="39"/>
      <c r="B321" s="58" t="s">
        <v>92</v>
      </c>
      <c r="C321" s="58"/>
      <c r="D321" s="58"/>
      <c r="E321" s="58"/>
      <c r="F321" s="58"/>
      <c r="H321" s="2177" t="s">
        <v>2595</v>
      </c>
      <c r="I321" s="2032"/>
      <c r="J321" s="2032"/>
      <c r="K321" s="2032"/>
      <c r="L321" s="2032"/>
      <c r="M321" s="2032"/>
      <c r="N321" s="2032"/>
      <c r="O321" s="2032"/>
      <c r="P321" s="2032"/>
      <c r="Q321" s="2032"/>
      <c r="R321" s="2032"/>
      <c r="T321" s="58" t="s">
        <v>92</v>
      </c>
      <c r="V321" s="58"/>
      <c r="W321" s="58"/>
      <c r="X321" s="58"/>
      <c r="Y321" s="58"/>
      <c r="AA321" s="2177" t="s">
        <v>2574</v>
      </c>
      <c r="AB321" s="2032"/>
      <c r="AC321" s="2032"/>
      <c r="AD321" s="2032"/>
      <c r="AE321" s="2032"/>
      <c r="AF321" s="2032"/>
      <c r="AG321" s="2032"/>
      <c r="AH321" s="2032"/>
      <c r="AI321" s="2032"/>
      <c r="AJ321" s="2032"/>
      <c r="AK321" s="2032"/>
      <c r="AL321" s="39"/>
      <c r="BN321" s="61"/>
    </row>
    <row r="322" spans="1:66" ht="12.75">
      <c r="A322" s="39"/>
      <c r="B322" s="58" t="s">
        <v>93</v>
      </c>
      <c r="C322" s="58"/>
      <c r="D322" s="58"/>
      <c r="E322" s="58"/>
      <c r="F322" s="58"/>
      <c r="G322" s="58"/>
      <c r="H322" s="2214" t="s">
        <v>2596</v>
      </c>
      <c r="I322" s="2205"/>
      <c r="J322" s="2205"/>
      <c r="K322" s="2205"/>
      <c r="L322" s="2205"/>
      <c r="M322" s="2205"/>
      <c r="N322" s="7" t="s">
        <v>211</v>
      </c>
      <c r="O322" s="7"/>
      <c r="P322" s="2195"/>
      <c r="Q322" s="2195"/>
      <c r="R322" s="2195"/>
      <c r="S322" s="58"/>
      <c r="T322" s="58" t="s">
        <v>93</v>
      </c>
      <c r="V322" s="58"/>
      <c r="W322" s="58"/>
      <c r="X322" s="58"/>
      <c r="Y322" s="58"/>
      <c r="AA322" s="2214" t="s">
        <v>2575</v>
      </c>
      <c r="AB322" s="2205"/>
      <c r="AC322" s="2205"/>
      <c r="AD322" s="2205"/>
      <c r="AE322" s="2205"/>
      <c r="AF322" s="2205"/>
      <c r="AG322" s="7" t="s">
        <v>211</v>
      </c>
      <c r="AH322" s="7"/>
      <c r="AI322" s="2195"/>
      <c r="AJ322" s="2195"/>
      <c r="AK322" s="2195"/>
      <c r="AL322" s="39"/>
      <c r="BN322" s="61"/>
    </row>
    <row r="323" spans="1:66" ht="12.75" customHeight="1">
      <c r="A323" s="39"/>
      <c r="B323" s="58" t="s">
        <v>94</v>
      </c>
      <c r="C323" s="58"/>
      <c r="D323" s="58"/>
      <c r="E323" s="58"/>
      <c r="F323" s="58"/>
      <c r="G323" s="58"/>
      <c r="H323" s="2044" t="s">
        <v>625</v>
      </c>
      <c r="I323" s="2056"/>
      <c r="J323" s="2056"/>
      <c r="K323" s="2056"/>
      <c r="L323" s="2056"/>
      <c r="M323" s="2056"/>
      <c r="N323" s="60"/>
      <c r="O323" s="60"/>
      <c r="P323" s="62"/>
      <c r="Q323" s="62"/>
      <c r="R323" s="62"/>
      <c r="S323" s="58"/>
      <c r="T323" s="58" t="s">
        <v>94</v>
      </c>
      <c r="V323" s="58"/>
      <c r="W323" s="58"/>
      <c r="X323" s="58"/>
      <c r="Y323" s="58"/>
      <c r="AA323" s="2044" t="s">
        <v>625</v>
      </c>
      <c r="AB323" s="2056"/>
      <c r="AC323" s="2056"/>
      <c r="AD323" s="2056"/>
      <c r="AE323" s="2056"/>
      <c r="AF323" s="2056"/>
      <c r="AG323" s="60"/>
      <c r="AH323" s="60"/>
      <c r="AI323" s="62"/>
      <c r="AJ323" s="62"/>
      <c r="AK323" s="62"/>
      <c r="AL323" s="39"/>
    </row>
    <row r="324" spans="1:66" ht="12.75">
      <c r="A324" s="39"/>
      <c r="B324" s="58" t="s">
        <v>80</v>
      </c>
      <c r="C324" s="58"/>
      <c r="D324" s="58"/>
      <c r="E324" s="58"/>
      <c r="F324" s="58"/>
      <c r="G324" s="58"/>
      <c r="H324" s="2177" t="s">
        <v>2597</v>
      </c>
      <c r="I324" s="2032"/>
      <c r="J324" s="2032"/>
      <c r="K324" s="2032"/>
      <c r="L324" s="2032"/>
      <c r="M324" s="2032"/>
      <c r="N324" s="2040"/>
      <c r="O324" s="2040"/>
      <c r="P324" s="2040"/>
      <c r="Q324" s="2040"/>
      <c r="R324" s="2040"/>
      <c r="S324" s="58"/>
      <c r="T324" s="58" t="s">
        <v>80</v>
      </c>
      <c r="V324" s="58"/>
      <c r="W324" s="58"/>
      <c r="X324" s="58"/>
      <c r="Y324" s="58"/>
      <c r="AA324" s="2177" t="s">
        <v>2576</v>
      </c>
      <c r="AB324" s="2032"/>
      <c r="AC324" s="2032"/>
      <c r="AD324" s="2032"/>
      <c r="AE324" s="2032"/>
      <c r="AF324" s="2032"/>
      <c r="AG324" s="2040"/>
      <c r="AH324" s="2040"/>
      <c r="AI324" s="2040"/>
      <c r="AJ324" s="2040"/>
      <c r="AK324" s="2040"/>
      <c r="AL324" s="39"/>
    </row>
    <row r="325" spans="1:66" ht="12.75">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43" t="s">
        <v>2571</v>
      </c>
      <c r="I326" s="2040"/>
      <c r="J326" s="2040"/>
      <c r="K326" s="2040"/>
      <c r="L326" s="2040"/>
      <c r="M326" s="2040"/>
      <c r="N326" s="2040"/>
      <c r="O326" s="2040"/>
      <c r="P326" s="2040"/>
      <c r="Q326" s="2040"/>
      <c r="R326" s="2040"/>
      <c r="T326" s="58" t="s">
        <v>377</v>
      </c>
      <c r="V326" s="58"/>
      <c r="W326" s="58"/>
      <c r="X326" s="58"/>
      <c r="Y326" s="58"/>
      <c r="AA326" s="2040"/>
      <c r="AB326" s="2040"/>
      <c r="AC326" s="2040"/>
      <c r="AD326" s="2040"/>
      <c r="AE326" s="2040"/>
      <c r="AF326" s="2040"/>
      <c r="AG326" s="2040"/>
      <c r="AH326" s="2040"/>
      <c r="AI326" s="2040"/>
      <c r="AJ326" s="2040"/>
      <c r="AK326" s="2040"/>
      <c r="AL326" s="39"/>
    </row>
    <row r="327" spans="1:66" ht="12.75">
      <c r="A327" s="39"/>
      <c r="B327" s="58" t="s">
        <v>503</v>
      </c>
      <c r="C327" s="58"/>
      <c r="D327" s="58"/>
      <c r="E327" s="58"/>
      <c r="F327" s="58"/>
      <c r="H327" s="2177" t="s">
        <v>2572</v>
      </c>
      <c r="I327" s="2032"/>
      <c r="J327" s="2032"/>
      <c r="K327" s="2032"/>
      <c r="L327" s="2032"/>
      <c r="M327" s="2032"/>
      <c r="N327" s="2032"/>
      <c r="O327" s="2032"/>
      <c r="P327" s="2032"/>
      <c r="Q327" s="2032"/>
      <c r="R327" s="2032"/>
      <c r="T327" s="58" t="s">
        <v>503</v>
      </c>
      <c r="V327" s="58"/>
      <c r="W327" s="58"/>
      <c r="X327" s="58"/>
      <c r="Y327" s="58"/>
      <c r="AA327" s="2032"/>
      <c r="AB327" s="2032"/>
      <c r="AC327" s="2032"/>
      <c r="AD327" s="2032"/>
      <c r="AE327" s="2032"/>
      <c r="AF327" s="2032"/>
      <c r="AG327" s="2032"/>
      <c r="AH327" s="2032"/>
      <c r="AI327" s="2032"/>
      <c r="AJ327" s="2032"/>
      <c r="AK327" s="2032"/>
      <c r="AL327" s="39"/>
    </row>
    <row r="328" spans="1:66" ht="12.75">
      <c r="A328" s="39"/>
      <c r="B328" s="58" t="s">
        <v>504</v>
      </c>
      <c r="C328" s="58"/>
      <c r="D328" s="58"/>
      <c r="E328" s="58"/>
      <c r="F328" s="58"/>
      <c r="H328" s="2177" t="s">
        <v>2573</v>
      </c>
      <c r="I328" s="2032"/>
      <c r="J328" s="2032"/>
      <c r="K328" s="2032"/>
      <c r="L328" s="2032"/>
      <c r="M328" s="2032"/>
      <c r="N328" s="2032"/>
      <c r="O328" s="2032"/>
      <c r="P328" s="2032"/>
      <c r="Q328" s="2032"/>
      <c r="R328" s="2032"/>
      <c r="T328" s="58" t="s">
        <v>79</v>
      </c>
      <c r="V328" s="58"/>
      <c r="W328" s="58"/>
      <c r="X328" s="58"/>
      <c r="Y328" s="58"/>
      <c r="AA328" s="2032"/>
      <c r="AB328" s="2032"/>
      <c r="AC328" s="2032"/>
      <c r="AD328" s="2032"/>
      <c r="AE328" s="2032"/>
      <c r="AF328" s="2032"/>
      <c r="AG328" s="2032"/>
      <c r="AH328" s="2032"/>
      <c r="AI328" s="2032"/>
      <c r="AJ328" s="2032"/>
      <c r="AK328" s="2032"/>
      <c r="AL328" s="39"/>
    </row>
    <row r="329" spans="1:66" ht="12.75">
      <c r="A329" s="39"/>
      <c r="B329" s="58" t="s">
        <v>92</v>
      </c>
      <c r="C329" s="58"/>
      <c r="D329" s="58"/>
      <c r="E329" s="58"/>
      <c r="F329" s="58"/>
      <c r="H329" s="2177" t="s">
        <v>2574</v>
      </c>
      <c r="I329" s="2032"/>
      <c r="J329" s="2032"/>
      <c r="K329" s="2032"/>
      <c r="L329" s="2032"/>
      <c r="M329" s="2032"/>
      <c r="N329" s="2032"/>
      <c r="O329" s="2032"/>
      <c r="P329" s="2032"/>
      <c r="Q329" s="2032"/>
      <c r="R329" s="2032"/>
      <c r="T329" s="58" t="s">
        <v>92</v>
      </c>
      <c r="V329" s="58"/>
      <c r="W329" s="58"/>
      <c r="X329" s="58"/>
      <c r="Y329" s="58"/>
      <c r="AA329" s="2032"/>
      <c r="AB329" s="2032"/>
      <c r="AC329" s="2032"/>
      <c r="AD329" s="2032"/>
      <c r="AE329" s="2032"/>
      <c r="AF329" s="2032"/>
      <c r="AG329" s="2032"/>
      <c r="AH329" s="2032"/>
      <c r="AI329" s="2032"/>
      <c r="AJ329" s="2032"/>
      <c r="AK329" s="2032"/>
      <c r="AL329" s="39"/>
    </row>
    <row r="330" spans="1:66" ht="12.75" customHeight="1">
      <c r="A330" s="39"/>
      <c r="B330" s="58" t="s">
        <v>93</v>
      </c>
      <c r="C330" s="58"/>
      <c r="D330" s="58"/>
      <c r="E330" s="58"/>
      <c r="F330" s="58"/>
      <c r="G330" s="58"/>
      <c r="H330" s="2214" t="s">
        <v>2575</v>
      </c>
      <c r="I330" s="2205"/>
      <c r="J330" s="2205"/>
      <c r="K330" s="2205"/>
      <c r="L330" s="2205"/>
      <c r="M330" s="2205"/>
      <c r="N330" s="7" t="s">
        <v>211</v>
      </c>
      <c r="O330" s="7"/>
      <c r="P330" s="2195"/>
      <c r="Q330" s="2195"/>
      <c r="R330" s="2195"/>
      <c r="S330" s="58"/>
      <c r="T330" s="58" t="s">
        <v>93</v>
      </c>
      <c r="V330" s="58"/>
      <c r="W330" s="58"/>
      <c r="X330" s="58"/>
      <c r="Y330" s="58"/>
      <c r="AA330" s="2205"/>
      <c r="AB330" s="2205"/>
      <c r="AC330" s="2205"/>
      <c r="AD330" s="2205"/>
      <c r="AE330" s="2205"/>
      <c r="AF330" s="2205"/>
      <c r="AG330" s="7" t="s">
        <v>211</v>
      </c>
      <c r="AH330" s="7"/>
      <c r="AI330" s="2195"/>
      <c r="AJ330" s="2195"/>
      <c r="AK330" s="2195"/>
      <c r="AL330" s="39"/>
    </row>
    <row r="331" spans="1:66" ht="12.75">
      <c r="A331" s="39"/>
      <c r="B331" s="58" t="s">
        <v>94</v>
      </c>
      <c r="C331" s="58"/>
      <c r="D331" s="58"/>
      <c r="E331" s="58"/>
      <c r="F331" s="58"/>
      <c r="G331" s="58"/>
      <c r="H331" s="2044" t="s">
        <v>625</v>
      </c>
      <c r="I331" s="2056"/>
      <c r="J331" s="2056"/>
      <c r="K331" s="2056"/>
      <c r="L331" s="2056"/>
      <c r="M331" s="2056"/>
      <c r="N331" s="60"/>
      <c r="O331" s="60"/>
      <c r="P331" s="62"/>
      <c r="Q331" s="62"/>
      <c r="R331" s="62"/>
      <c r="S331" s="58"/>
      <c r="T331" s="58" t="s">
        <v>94</v>
      </c>
      <c r="V331" s="58"/>
      <c r="W331" s="58"/>
      <c r="X331" s="58"/>
      <c r="Y331" s="58"/>
      <c r="AA331" s="2056"/>
      <c r="AB331" s="2056"/>
      <c r="AC331" s="2056"/>
      <c r="AD331" s="2056"/>
      <c r="AE331" s="2056"/>
      <c r="AF331" s="2056"/>
      <c r="AG331" s="60"/>
      <c r="AH331" s="60"/>
      <c r="AI331" s="62"/>
      <c r="AJ331" s="62"/>
      <c r="AK331" s="62"/>
      <c r="AL331" s="39"/>
    </row>
    <row r="332" spans="1:66" ht="12.75">
      <c r="A332" s="39"/>
      <c r="B332" s="58" t="s">
        <v>80</v>
      </c>
      <c r="C332" s="58"/>
      <c r="D332" s="58"/>
      <c r="E332" s="58"/>
      <c r="F332" s="58"/>
      <c r="G332" s="58"/>
      <c r="H332" s="2177" t="s">
        <v>2576</v>
      </c>
      <c r="I332" s="2032"/>
      <c r="J332" s="2032"/>
      <c r="K332" s="2032"/>
      <c r="L332" s="2032"/>
      <c r="M332" s="2032"/>
      <c r="N332" s="2040"/>
      <c r="O332" s="2040"/>
      <c r="P332" s="2040"/>
      <c r="Q332" s="2040"/>
      <c r="R332" s="2040"/>
      <c r="S332" s="58"/>
      <c r="T332" s="58" t="s">
        <v>80</v>
      </c>
      <c r="V332" s="58"/>
      <c r="W332" s="58"/>
      <c r="X332" s="58"/>
      <c r="Y332" s="58"/>
      <c r="AA332" s="2032"/>
      <c r="AB332" s="2032"/>
      <c r="AC332" s="2032"/>
      <c r="AD332" s="2032"/>
      <c r="AE332" s="2032"/>
      <c r="AF332" s="2032"/>
      <c r="AG332" s="2040"/>
      <c r="AH332" s="2040"/>
      <c r="AI332" s="2040"/>
      <c r="AJ332" s="2040"/>
      <c r="AK332" s="2040"/>
      <c r="AL332" s="39"/>
    </row>
    <row r="333" spans="1:66" ht="12.75"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43" t="s">
        <v>2598</v>
      </c>
      <c r="I334" s="2040"/>
      <c r="J334" s="2040"/>
      <c r="K334" s="2040"/>
      <c r="L334" s="2040"/>
      <c r="M334" s="2040"/>
      <c r="N334" s="2040"/>
      <c r="O334" s="2040"/>
      <c r="P334" s="2040"/>
      <c r="Q334" s="2040"/>
      <c r="R334" s="2040"/>
      <c r="T334" s="404" t="s">
        <v>951</v>
      </c>
      <c r="V334" s="58"/>
      <c r="W334" s="58"/>
      <c r="X334" s="58"/>
      <c r="Y334" s="58"/>
      <c r="AA334" s="2043" t="s">
        <v>2577</v>
      </c>
      <c r="AB334" s="2040"/>
      <c r="AC334" s="2040"/>
      <c r="AD334" s="2040"/>
      <c r="AE334" s="2040"/>
      <c r="AF334" s="2040"/>
      <c r="AG334" s="2040"/>
      <c r="AH334" s="2040"/>
      <c r="AI334" s="2040"/>
      <c r="AJ334" s="2040"/>
      <c r="AK334" s="2040"/>
      <c r="AL334" s="39"/>
    </row>
    <row r="335" spans="1:66" ht="12.75" customHeight="1">
      <c r="B335" s="58" t="s">
        <v>503</v>
      </c>
      <c r="C335" s="239"/>
      <c r="D335" s="239"/>
      <c r="E335" s="239"/>
      <c r="F335" s="239"/>
      <c r="G335" s="3"/>
      <c r="H335" s="2177" t="s">
        <v>2599</v>
      </c>
      <c r="I335" s="2032"/>
      <c r="J335" s="2032"/>
      <c r="K335" s="2032"/>
      <c r="L335" s="2032"/>
      <c r="M335" s="2032"/>
      <c r="N335" s="2032"/>
      <c r="O335" s="2032"/>
      <c r="P335" s="2032"/>
      <c r="Q335" s="2032"/>
      <c r="R335" s="2032"/>
      <c r="T335" s="58" t="s">
        <v>503</v>
      </c>
      <c r="V335" s="58"/>
      <c r="W335" s="58"/>
      <c r="X335" s="58"/>
      <c r="Y335" s="58"/>
      <c r="AA335" s="2177" t="s">
        <v>2578</v>
      </c>
      <c r="AB335" s="2032"/>
      <c r="AC335" s="2032"/>
      <c r="AD335" s="2032"/>
      <c r="AE335" s="2032"/>
      <c r="AF335" s="2032"/>
      <c r="AG335" s="2032"/>
      <c r="AH335" s="2032"/>
      <c r="AI335" s="2032"/>
      <c r="AJ335" s="2032"/>
      <c r="AK335" s="2032"/>
      <c r="AL335" s="39"/>
    </row>
    <row r="336" spans="1:66" ht="12.75" customHeight="1">
      <c r="B336" s="58" t="s">
        <v>79</v>
      </c>
      <c r="C336" s="239"/>
      <c r="D336" s="239"/>
      <c r="E336" s="239"/>
      <c r="F336" s="239"/>
      <c r="G336" s="3"/>
      <c r="H336" s="2177" t="s">
        <v>2600</v>
      </c>
      <c r="I336" s="2032"/>
      <c r="J336" s="2032"/>
      <c r="K336" s="2032"/>
      <c r="L336" s="2032"/>
      <c r="M336" s="2032"/>
      <c r="N336" s="2032"/>
      <c r="O336" s="2032"/>
      <c r="P336" s="2032"/>
      <c r="Q336" s="2032"/>
      <c r="R336" s="2032"/>
      <c r="T336" s="58" t="s">
        <v>79</v>
      </c>
      <c r="V336" s="58"/>
      <c r="W336" s="58"/>
      <c r="X336" s="58"/>
      <c r="Y336" s="58"/>
      <c r="AA336" s="2177" t="s">
        <v>2579</v>
      </c>
      <c r="AB336" s="2032"/>
      <c r="AC336" s="2032"/>
      <c r="AD336" s="2032"/>
      <c r="AE336" s="2032"/>
      <c r="AF336" s="2032"/>
      <c r="AG336" s="2032"/>
      <c r="AH336" s="2032"/>
      <c r="AI336" s="2032"/>
      <c r="AJ336" s="2032"/>
      <c r="AK336" s="2032"/>
      <c r="AL336" s="39"/>
    </row>
    <row r="337" spans="1:66" ht="12.75" customHeight="1">
      <c r="A337" s="39"/>
      <c r="B337" s="58" t="s">
        <v>92</v>
      </c>
      <c r="C337" s="239"/>
      <c r="D337" s="239"/>
      <c r="E337" s="239"/>
      <c r="F337" s="239"/>
      <c r="G337" s="239"/>
      <c r="H337" s="2177" t="s">
        <v>2601</v>
      </c>
      <c r="I337" s="2032"/>
      <c r="J337" s="2032"/>
      <c r="K337" s="2032"/>
      <c r="L337" s="2032"/>
      <c r="M337" s="2032"/>
      <c r="N337" s="2032"/>
      <c r="O337" s="2032"/>
      <c r="P337" s="2032"/>
      <c r="Q337" s="2032"/>
      <c r="R337" s="2032"/>
      <c r="T337" s="58" t="s">
        <v>92</v>
      </c>
      <c r="V337" s="58"/>
      <c r="W337" s="58"/>
      <c r="X337" s="58"/>
      <c r="Y337" s="58"/>
      <c r="AA337" s="2177" t="s">
        <v>2580</v>
      </c>
      <c r="AB337" s="2032"/>
      <c r="AC337" s="2032"/>
      <c r="AD337" s="2032"/>
      <c r="AE337" s="2032"/>
      <c r="AF337" s="2032"/>
      <c r="AG337" s="2032"/>
      <c r="AH337" s="2032"/>
      <c r="AI337" s="2032"/>
      <c r="AJ337" s="2032"/>
      <c r="AK337" s="2032"/>
      <c r="AL337" s="39"/>
    </row>
    <row r="338" spans="1:66" ht="12.75" customHeight="1">
      <c r="A338" s="39"/>
      <c r="B338" s="58" t="s">
        <v>93</v>
      </c>
      <c r="C338" s="239"/>
      <c r="D338" s="239"/>
      <c r="E338" s="239"/>
      <c r="F338" s="239"/>
      <c r="G338" s="239"/>
      <c r="H338" s="2214" t="s">
        <v>2602</v>
      </c>
      <c r="I338" s="2205"/>
      <c r="J338" s="2205"/>
      <c r="K338" s="2205"/>
      <c r="L338" s="2205"/>
      <c r="M338" s="2205"/>
      <c r="N338" s="7" t="s">
        <v>211</v>
      </c>
      <c r="O338" s="7"/>
      <c r="P338" s="2195"/>
      <c r="Q338" s="2195"/>
      <c r="R338" s="2195"/>
      <c r="S338" s="58"/>
      <c r="T338" s="58" t="s">
        <v>93</v>
      </c>
      <c r="V338" s="58"/>
      <c r="W338" s="58"/>
      <c r="X338" s="58"/>
      <c r="Y338" s="58"/>
      <c r="AA338" s="2214" t="s">
        <v>2581</v>
      </c>
      <c r="AB338" s="2205"/>
      <c r="AC338" s="2205"/>
      <c r="AD338" s="2205"/>
      <c r="AE338" s="2205"/>
      <c r="AF338" s="2205"/>
      <c r="AG338" s="7" t="s">
        <v>211</v>
      </c>
      <c r="AH338" s="7"/>
      <c r="AI338" s="2195"/>
      <c r="AJ338" s="2195"/>
      <c r="AK338" s="2195"/>
      <c r="AL338" s="39"/>
    </row>
    <row r="339" spans="1:66" ht="12.75">
      <c r="A339" s="39"/>
      <c r="B339" s="58" t="s">
        <v>94</v>
      </c>
      <c r="C339" s="239"/>
      <c r="D339" s="239"/>
      <c r="E339" s="239"/>
      <c r="F339" s="239"/>
      <c r="G339" s="239"/>
      <c r="H339" s="2044" t="s">
        <v>2603</v>
      </c>
      <c r="I339" s="2056"/>
      <c r="J339" s="2056"/>
      <c r="K339" s="2056"/>
      <c r="L339" s="2056"/>
      <c r="M339" s="2056"/>
      <c r="N339" s="60"/>
      <c r="O339" s="60"/>
      <c r="P339" s="62"/>
      <c r="Q339" s="62"/>
      <c r="R339" s="62"/>
      <c r="S339" s="58"/>
      <c r="T339" s="58" t="s">
        <v>94</v>
      </c>
      <c r="V339" s="58"/>
      <c r="W339" s="58"/>
      <c r="X339" s="58"/>
      <c r="Y339" s="58"/>
      <c r="AA339" s="2044" t="s">
        <v>2582</v>
      </c>
      <c r="AB339" s="2056"/>
      <c r="AC339" s="2056"/>
      <c r="AD339" s="2056"/>
      <c r="AE339" s="2056"/>
      <c r="AF339" s="2056"/>
      <c r="AG339" s="60"/>
      <c r="AH339" s="60"/>
      <c r="AI339" s="62"/>
      <c r="AJ339" s="62"/>
      <c r="AK339" s="62"/>
      <c r="AL339" s="39"/>
    </row>
    <row r="340" spans="1:66" ht="12.75">
      <c r="A340" s="39"/>
      <c r="B340" s="58" t="s">
        <v>80</v>
      </c>
      <c r="C340" s="236"/>
      <c r="D340" s="236"/>
      <c r="E340" s="236"/>
      <c r="F340" s="236"/>
      <c r="G340" s="236"/>
      <c r="H340" s="2177" t="s">
        <v>2604</v>
      </c>
      <c r="I340" s="2032"/>
      <c r="J340" s="2032"/>
      <c r="K340" s="2032"/>
      <c r="L340" s="2032"/>
      <c r="M340" s="2032"/>
      <c r="N340" s="2040"/>
      <c r="O340" s="2040"/>
      <c r="P340" s="2040"/>
      <c r="Q340" s="2040"/>
      <c r="R340" s="2040"/>
      <c r="S340" s="58"/>
      <c r="T340" s="58" t="s">
        <v>80</v>
      </c>
      <c r="V340" s="58"/>
      <c r="W340" s="58"/>
      <c r="X340" s="58"/>
      <c r="Y340" s="58"/>
      <c r="AA340" s="2177" t="s">
        <v>2583</v>
      </c>
      <c r="AB340" s="2032"/>
      <c r="AC340" s="2032"/>
      <c r="AD340" s="2032"/>
      <c r="AE340" s="2032"/>
      <c r="AF340" s="2032"/>
      <c r="AG340" s="2040"/>
      <c r="AH340" s="2040"/>
      <c r="AI340" s="2040"/>
      <c r="AJ340" s="2040"/>
      <c r="AK340" s="2040"/>
      <c r="AL340" s="39"/>
    </row>
    <row r="341" spans="1:66" ht="12.75"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2.75">
      <c r="A342" s="3"/>
      <c r="B342" s="239"/>
      <c r="C342" s="405"/>
      <c r="D342" s="405"/>
      <c r="E342" s="405"/>
      <c r="F342" s="405"/>
      <c r="G342" s="88"/>
      <c r="H342" s="88"/>
      <c r="I342" s="404" t="s">
        <v>952</v>
      </c>
      <c r="P342" s="2040"/>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625</v>
      </c>
    </row>
    <row r="343" spans="1:66" ht="12.75">
      <c r="A343" s="3"/>
      <c r="B343" s="60"/>
      <c r="C343" s="60"/>
      <c r="D343" s="60"/>
      <c r="E343" s="60"/>
      <c r="F343" s="60"/>
      <c r="G343" s="3"/>
      <c r="H343" s="88"/>
      <c r="I343" s="7" t="s">
        <v>503</v>
      </c>
      <c r="P343" s="2032"/>
      <c r="Q343" s="2032"/>
      <c r="R343" s="2032"/>
      <c r="S343" s="2032"/>
      <c r="T343" s="2032"/>
      <c r="U343" s="2032"/>
      <c r="V343" s="2032"/>
      <c r="W343" s="2032"/>
      <c r="X343" s="2032"/>
      <c r="Y343" s="2032"/>
      <c r="Z343" s="2032"/>
      <c r="AA343" s="2032"/>
      <c r="AB343" s="2032"/>
      <c r="AC343" s="2032"/>
      <c r="AD343" s="2032"/>
      <c r="AE343" s="2032"/>
      <c r="AF343" s="88"/>
      <c r="AG343" s="88"/>
      <c r="AH343" s="88"/>
      <c r="AI343" s="88"/>
      <c r="AJ343" s="88"/>
      <c r="AK343" s="88"/>
      <c r="AL343" s="39"/>
      <c r="BN343" s="12" t="s">
        <v>705</v>
      </c>
    </row>
    <row r="344" spans="1:66" ht="12.75">
      <c r="A344" s="3"/>
      <c r="B344" s="60"/>
      <c r="C344" s="60"/>
      <c r="D344" s="60"/>
      <c r="E344" s="60"/>
      <c r="F344" s="60"/>
      <c r="G344" s="3"/>
      <c r="H344" s="88"/>
      <c r="I344" s="7" t="s">
        <v>79</v>
      </c>
      <c r="P344" s="2032"/>
      <c r="Q344" s="2032"/>
      <c r="R344" s="2032"/>
      <c r="S344" s="2032"/>
      <c r="T344" s="2032"/>
      <c r="U344" s="2032"/>
      <c r="V344" s="2032"/>
      <c r="W344" s="2032"/>
      <c r="X344" s="2032"/>
      <c r="Y344" s="2032"/>
      <c r="Z344" s="2032"/>
      <c r="AA344" s="2032"/>
      <c r="AB344" s="2032"/>
      <c r="AC344" s="2032"/>
      <c r="AD344" s="2032"/>
      <c r="AE344" s="2032"/>
      <c r="AF344" s="88"/>
      <c r="AG344" s="88"/>
      <c r="AH344" s="88"/>
      <c r="AI344" s="88"/>
      <c r="AJ344" s="88"/>
      <c r="AK344" s="88"/>
      <c r="AL344" s="39"/>
      <c r="BN344" s="12" t="s">
        <v>577</v>
      </c>
    </row>
    <row r="345" spans="1:66" ht="12.75">
      <c r="A345" s="3"/>
      <c r="B345" s="60"/>
      <c r="C345" s="60"/>
      <c r="D345" s="60"/>
      <c r="E345" s="60"/>
      <c r="F345" s="60"/>
      <c r="G345" s="60"/>
      <c r="H345" s="88"/>
      <c r="I345" s="7" t="s">
        <v>92</v>
      </c>
      <c r="P345" s="2032"/>
      <c r="Q345" s="2032"/>
      <c r="R345" s="2032"/>
      <c r="S345" s="2032"/>
      <c r="T345" s="2032"/>
      <c r="U345" s="2032"/>
      <c r="V345" s="2032"/>
      <c r="W345" s="2032"/>
      <c r="X345" s="2032"/>
      <c r="Y345" s="2032"/>
      <c r="Z345" s="2032"/>
      <c r="AA345" s="2032"/>
      <c r="AB345" s="2032"/>
      <c r="AC345" s="2032"/>
      <c r="AD345" s="2032"/>
      <c r="AE345" s="2032"/>
      <c r="AF345" s="88"/>
      <c r="AG345" s="88"/>
      <c r="AH345" s="88"/>
      <c r="AI345" s="88"/>
      <c r="AJ345" s="88"/>
      <c r="AK345" s="88"/>
      <c r="AL345" s="39"/>
    </row>
    <row r="346" spans="1:66" ht="12.75">
      <c r="A346" s="3"/>
      <c r="B346" s="60"/>
      <c r="C346" s="60"/>
      <c r="D346" s="60"/>
      <c r="E346" s="60"/>
      <c r="F346" s="60"/>
      <c r="G346" s="60"/>
      <c r="H346" s="464"/>
      <c r="I346" s="7" t="s">
        <v>93</v>
      </c>
      <c r="P346" s="2056"/>
      <c r="Q346" s="2056"/>
      <c r="R346" s="2056"/>
      <c r="S346" s="2056"/>
      <c r="T346" s="2056"/>
      <c r="U346" s="2056"/>
      <c r="V346" s="2056"/>
      <c r="W346" s="2056"/>
      <c r="X346" s="2056"/>
      <c r="Y346" s="2056"/>
      <c r="Z346" s="2056"/>
      <c r="AA346" s="7" t="s">
        <v>211</v>
      </c>
      <c r="AB346" s="7"/>
      <c r="AC346" s="2045"/>
      <c r="AD346" s="2045"/>
      <c r="AE346" s="2045"/>
      <c r="AF346" s="464"/>
      <c r="AG346" s="60"/>
      <c r="AH346" s="60"/>
      <c r="AI346" s="405"/>
      <c r="AJ346" s="405"/>
      <c r="AK346" s="405"/>
      <c r="AL346" s="39"/>
    </row>
    <row r="347" spans="1:66" ht="12.75" customHeight="1">
      <c r="A347" s="3"/>
      <c r="B347" s="60"/>
      <c r="C347" s="60"/>
      <c r="D347" s="60"/>
      <c r="E347" s="60"/>
      <c r="F347" s="60"/>
      <c r="G347" s="60"/>
      <c r="H347" s="464"/>
      <c r="I347" s="7" t="s">
        <v>94</v>
      </c>
      <c r="P347" s="2056"/>
      <c r="Q347" s="2056"/>
      <c r="R347" s="2056"/>
      <c r="S347" s="2056"/>
      <c r="T347" s="2056"/>
      <c r="U347" s="2056"/>
      <c r="V347" s="2056"/>
      <c r="W347" s="2056"/>
      <c r="X347" s="2056"/>
      <c r="Y347" s="2056"/>
      <c r="Z347" s="2056"/>
      <c r="AF347" s="464"/>
      <c r="AG347" s="60"/>
      <c r="AH347" s="60"/>
      <c r="AI347" s="62"/>
      <c r="AJ347" s="62"/>
      <c r="AK347" s="62"/>
      <c r="AL347" s="39"/>
    </row>
    <row r="348" spans="1:66" ht="12.75">
      <c r="A348" s="3"/>
      <c r="B348" s="60"/>
      <c r="C348" s="405"/>
      <c r="D348" s="405"/>
      <c r="E348" s="405"/>
      <c r="F348" s="405"/>
      <c r="G348" s="405"/>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6" t="s">
        <v>574</v>
      </c>
      <c r="B350" s="2086"/>
      <c r="C350" s="2086"/>
      <c r="D350" s="2086"/>
      <c r="E350" s="2086"/>
      <c r="F350" s="2086"/>
      <c r="G350" s="2086"/>
      <c r="H350" s="2086"/>
      <c r="I350" s="2086"/>
      <c r="J350" s="2086"/>
      <c r="K350" s="2086"/>
      <c r="L350" s="2086"/>
      <c r="M350" s="2086"/>
      <c r="N350" s="2086"/>
      <c r="O350" s="2086"/>
      <c r="P350" s="2086"/>
      <c r="Q350" s="2086"/>
      <c r="R350" s="2086"/>
      <c r="S350" s="2086"/>
      <c r="T350" s="2086"/>
      <c r="U350" s="2086"/>
      <c r="V350" s="2086"/>
      <c r="W350" s="2086"/>
      <c r="X350" s="2086"/>
      <c r="Y350" s="2086"/>
      <c r="Z350" s="2086"/>
      <c r="AA350" s="2086"/>
      <c r="AB350" s="2086"/>
      <c r="AC350" s="2086"/>
      <c r="AD350" s="2086"/>
      <c r="AE350" s="2086"/>
      <c r="AF350" s="2086"/>
      <c r="AG350" s="2086"/>
      <c r="AH350" s="2086"/>
      <c r="AI350" s="2086"/>
      <c r="AJ350" s="2086"/>
      <c r="AK350" s="2086"/>
      <c r="AL350" s="2086"/>
      <c r="AM350" s="144"/>
      <c r="AN350" s="144"/>
      <c r="AO350" s="144"/>
      <c r="AP350" s="144"/>
      <c r="AQ350" s="144"/>
      <c r="AR350" s="144"/>
      <c r="AS350" s="144"/>
      <c r="AT350" s="144"/>
      <c r="AU350" s="144"/>
      <c r="AV350" s="144"/>
      <c r="AW350" s="144"/>
      <c r="AX350" s="144"/>
      <c r="AY350" s="144"/>
    </row>
    <row r="351" spans="1:66" ht="13.5" thickBot="1">
      <c r="A351" s="2087"/>
      <c r="B351" s="2087"/>
      <c r="C351" s="2087"/>
      <c r="D351" s="2087"/>
      <c r="E351" s="2087"/>
      <c r="F351" s="2087"/>
      <c r="G351" s="2087"/>
      <c r="H351" s="2087"/>
      <c r="I351" s="2087"/>
      <c r="J351" s="2087"/>
      <c r="K351" s="2087"/>
      <c r="L351" s="2087"/>
      <c r="M351" s="2087"/>
      <c r="N351" s="2087"/>
      <c r="O351" s="2087"/>
      <c r="P351" s="2087"/>
      <c r="Q351" s="2087"/>
      <c r="R351" s="2087"/>
      <c r="S351" s="2087"/>
      <c r="T351" s="2087"/>
      <c r="U351" s="2087"/>
      <c r="V351" s="2087"/>
      <c r="W351" s="2087"/>
      <c r="X351" s="2087"/>
      <c r="Y351" s="2087"/>
      <c r="Z351" s="2087"/>
      <c r="AA351" s="2087"/>
      <c r="AB351" s="2087"/>
      <c r="AC351" s="2087"/>
      <c r="AD351" s="2087"/>
      <c r="AE351" s="2087"/>
      <c r="AF351" s="2087"/>
      <c r="AG351" s="2087"/>
      <c r="AH351" s="2087"/>
      <c r="AI351" s="2087"/>
      <c r="AJ351" s="2087"/>
      <c r="AK351" s="2087"/>
      <c r="AL351" s="208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55" t="s">
        <v>577</v>
      </c>
      <c r="N354" s="2055"/>
      <c r="P354" s="12" t="s">
        <v>2001</v>
      </c>
      <c r="AJ354" s="2055" t="s">
        <v>577</v>
      </c>
      <c r="AK354" s="2055"/>
    </row>
    <row r="355" spans="1:37" ht="12.75" customHeight="1">
      <c r="D355" s="58" t="s">
        <v>1990</v>
      </c>
      <c r="M355" s="2055" t="s">
        <v>625</v>
      </c>
      <c r="N355" s="2055"/>
      <c r="P355" s="58" t="s">
        <v>2215</v>
      </c>
      <c r="AJ355" s="2015">
        <v>12</v>
      </c>
      <c r="AK355" s="2015"/>
    </row>
    <row r="356" spans="1:37" ht="12.75" customHeight="1">
      <c r="D356" s="12" t="s">
        <v>744</v>
      </c>
      <c r="M356" s="2055" t="s">
        <v>625</v>
      </c>
      <c r="N356" s="2055"/>
      <c r="P356" s="718" t="s">
        <v>2000</v>
      </c>
      <c r="AJ356" s="2055" t="s">
        <v>705</v>
      </c>
      <c r="AK356" s="2055"/>
    </row>
    <row r="357" spans="1:37" ht="12.75" customHeight="1">
      <c r="D357" s="12" t="s">
        <v>745</v>
      </c>
      <c r="M357" s="2055" t="s">
        <v>625</v>
      </c>
      <c r="N357" s="2055"/>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55" t="s">
        <v>625</v>
      </c>
      <c r="O362" s="2055"/>
      <c r="P362" s="69"/>
      <c r="Q362" s="69"/>
      <c r="R362" s="69"/>
      <c r="S362" s="69"/>
      <c r="T362" s="69"/>
      <c r="U362" s="69"/>
      <c r="V362" s="69"/>
      <c r="W362" s="69"/>
      <c r="X362" s="69"/>
      <c r="Y362" s="70"/>
      <c r="Z362" s="70"/>
      <c r="AC362" s="69"/>
      <c r="AD362" s="69"/>
      <c r="AE362" s="69"/>
    </row>
    <row r="363" spans="1:37" ht="12.75" customHeight="1">
      <c r="E363" s="12" t="s">
        <v>380</v>
      </c>
      <c r="Y363" s="2055" t="s">
        <v>625</v>
      </c>
      <c r="Z363" s="2055"/>
    </row>
    <row r="364" spans="1:37" ht="12.75" customHeight="1">
      <c r="D364" s="7" t="s">
        <v>1057</v>
      </c>
      <c r="Q364" s="2040" t="s">
        <v>625</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55" t="s">
        <v>625</v>
      </c>
      <c r="K366" s="2055"/>
      <c r="L366" s="69"/>
      <c r="M366" s="69"/>
      <c r="N366" s="69"/>
      <c r="O366" s="69"/>
      <c r="P366" s="69"/>
      <c r="Q366" s="69"/>
      <c r="R366" s="69"/>
      <c r="S366" s="69"/>
      <c r="T366" s="69"/>
      <c r="U366" s="69"/>
      <c r="V366" s="69"/>
      <c r="W366" s="69"/>
      <c r="X366" s="69"/>
      <c r="Y366" s="69"/>
      <c r="Z366" s="69"/>
      <c r="AC366" s="69"/>
      <c r="AD366" s="69"/>
      <c r="AE366" s="69"/>
    </row>
    <row r="367" spans="1:37" ht="12.75" customHeight="1">
      <c r="E367" s="2362" t="s">
        <v>746</v>
      </c>
      <c r="F367" s="2362"/>
      <c r="G367" s="2362"/>
      <c r="H367" s="2362"/>
      <c r="I367" s="2362"/>
      <c r="J367" s="2362"/>
      <c r="K367" s="2362"/>
      <c r="L367" s="2362"/>
      <c r="M367" s="2362"/>
      <c r="N367" s="2362"/>
      <c r="O367" s="2362"/>
      <c r="P367" s="2362"/>
      <c r="Q367" s="2362"/>
      <c r="R367" s="2362"/>
      <c r="S367" s="2362"/>
      <c r="T367" s="2362"/>
      <c r="U367" s="2362"/>
      <c r="V367" s="2362"/>
      <c r="W367" s="2362"/>
      <c r="X367" s="2362"/>
      <c r="Y367" s="2362"/>
      <c r="Z367" s="2362"/>
      <c r="AA367" s="2362"/>
      <c r="AB367" s="2362"/>
      <c r="AC367" s="2362"/>
      <c r="AD367" s="2362"/>
      <c r="AE367" s="2362"/>
      <c r="AF367" s="2362"/>
      <c r="AG367" s="2362"/>
      <c r="AH367" s="2362"/>
    </row>
    <row r="368" spans="1:37" ht="12.75" customHeight="1">
      <c r="E368" s="2362"/>
      <c r="F368" s="2362"/>
      <c r="G368" s="2362"/>
      <c r="H368" s="2362"/>
      <c r="I368" s="2362"/>
      <c r="J368" s="2362"/>
      <c r="K368" s="2362"/>
      <c r="L368" s="2362"/>
      <c r="M368" s="2362"/>
      <c r="N368" s="2362"/>
      <c r="O368" s="2362"/>
      <c r="P368" s="2362"/>
      <c r="Q368" s="2362"/>
      <c r="R368" s="2362"/>
      <c r="S368" s="2362"/>
      <c r="T368" s="2362"/>
      <c r="U368" s="2362"/>
      <c r="V368" s="2362"/>
      <c r="W368" s="2362"/>
      <c r="X368" s="2362"/>
      <c r="Y368" s="2362"/>
      <c r="Z368" s="2362"/>
      <c r="AA368" s="2362"/>
      <c r="AB368" s="2362"/>
      <c r="AC368" s="2362"/>
      <c r="AD368" s="2362"/>
      <c r="AE368" s="2362"/>
      <c r="AF368" s="2362"/>
      <c r="AG368" s="2362"/>
      <c r="AH368" s="2362"/>
    </row>
    <row r="369" spans="1:36" ht="12.75" customHeight="1">
      <c r="E369" s="7" t="s">
        <v>478</v>
      </c>
      <c r="F369" s="7"/>
      <c r="G369" s="7"/>
      <c r="H369" s="7"/>
      <c r="I369" s="7"/>
      <c r="J369" s="7"/>
      <c r="K369" s="7"/>
      <c r="L369" s="7"/>
      <c r="N369" s="2028"/>
      <c r="O369" s="2028"/>
      <c r="P369" s="2028"/>
      <c r="Q369" s="2028"/>
      <c r="R369" s="7"/>
      <c r="U369" s="7" t="s">
        <v>479</v>
      </c>
      <c r="V369" s="7"/>
      <c r="W369" s="7"/>
      <c r="X369" s="7"/>
      <c r="Y369" s="7"/>
      <c r="Z369" s="7"/>
      <c r="AA369" s="7"/>
      <c r="AB369" s="7"/>
      <c r="AC369" s="2028"/>
      <c r="AD369" s="2028"/>
      <c r="AE369" s="2028"/>
      <c r="AF369" s="2028"/>
    </row>
    <row r="370" spans="1:36" ht="12.75" customHeight="1">
      <c r="E370" s="7" t="s">
        <v>480</v>
      </c>
      <c r="F370" s="7"/>
      <c r="G370" s="7"/>
      <c r="H370" s="7"/>
      <c r="I370" s="7"/>
      <c r="J370" s="7"/>
      <c r="K370" s="7"/>
      <c r="L370" s="7"/>
      <c r="N370" s="2028"/>
      <c r="O370" s="2028"/>
      <c r="P370" s="2028"/>
      <c r="Q370" s="2028"/>
      <c r="R370" s="7"/>
      <c r="U370" s="7" t="s">
        <v>0</v>
      </c>
      <c r="V370" s="7"/>
      <c r="W370" s="7"/>
      <c r="X370" s="7"/>
      <c r="Y370" s="7"/>
      <c r="Z370" s="7"/>
      <c r="AA370" s="7"/>
      <c r="AB370" s="7"/>
      <c r="AC370" s="2028"/>
      <c r="AD370" s="2028"/>
      <c r="AE370" s="2028"/>
      <c r="AF370" s="2028"/>
    </row>
    <row r="371" spans="1:36" ht="12.75" customHeight="1">
      <c r="E371" s="7" t="s">
        <v>1</v>
      </c>
      <c r="F371" s="7"/>
      <c r="G371" s="7"/>
      <c r="H371" s="7"/>
      <c r="I371" s="7"/>
      <c r="J371" s="7"/>
      <c r="K371" s="7"/>
      <c r="L371" s="7"/>
      <c r="N371" s="2028"/>
      <c r="O371" s="2028"/>
      <c r="P371" s="2028"/>
      <c r="Q371" s="2028"/>
      <c r="R371" s="7"/>
      <c r="V371" s="7"/>
      <c r="W371" s="7"/>
      <c r="X371" s="7"/>
      <c r="Y371" s="7"/>
      <c r="Z371" s="7"/>
      <c r="AA371" s="7"/>
      <c r="AB371" s="7"/>
    </row>
    <row r="372" spans="1:36" ht="12.75" customHeight="1">
      <c r="E372" s="7" t="s">
        <v>2</v>
      </c>
      <c r="F372" s="7"/>
      <c r="G372" s="7"/>
      <c r="H372" s="7"/>
      <c r="I372" s="7"/>
      <c r="J372" s="7"/>
      <c r="K372" s="7"/>
      <c r="L372" s="7"/>
      <c r="N372" s="2247"/>
      <c r="O372" s="2247"/>
      <c r="P372" s="2247"/>
      <c r="Q372" s="2247"/>
      <c r="R372" s="2247"/>
      <c r="S372" s="2247"/>
      <c r="T372" s="2247"/>
      <c r="U372" s="2247"/>
      <c r="V372" s="2247"/>
      <c r="W372" s="2247"/>
      <c r="X372" s="2247"/>
      <c r="Y372" s="2247"/>
      <c r="Z372" s="2247"/>
      <c r="AA372" s="2247"/>
      <c r="AB372" s="2247"/>
      <c r="AC372" s="2247"/>
      <c r="AD372" s="2247"/>
      <c r="AE372" s="2247"/>
      <c r="AF372" s="2247"/>
    </row>
    <row r="373" spans="1:36" ht="12.75" customHeight="1">
      <c r="E373" s="7"/>
      <c r="F373" s="7"/>
      <c r="G373" s="7"/>
      <c r="H373" s="7"/>
      <c r="I373" s="7"/>
      <c r="J373" s="7"/>
      <c r="K373" s="7"/>
      <c r="L373" s="7"/>
      <c r="N373" s="2248"/>
      <c r="O373" s="2248"/>
      <c r="P373" s="2248"/>
      <c r="Q373" s="2248"/>
      <c r="R373" s="2248"/>
      <c r="S373" s="2248"/>
      <c r="T373" s="2248"/>
      <c r="U373" s="2248"/>
      <c r="V373" s="2248"/>
      <c r="W373" s="2248"/>
      <c r="X373" s="2248"/>
      <c r="Y373" s="2248"/>
      <c r="Z373" s="2248"/>
      <c r="AA373" s="2248"/>
      <c r="AB373" s="2248"/>
      <c r="AC373" s="2248"/>
      <c r="AD373" s="2248"/>
      <c r="AE373" s="2248"/>
      <c r="AF373" s="2248"/>
    </row>
    <row r="374" spans="1:36" ht="12.75" customHeight="1">
      <c r="C374" s="913"/>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088"/>
      <c r="T376" s="2088"/>
      <c r="U376" s="4" t="s">
        <v>314</v>
      </c>
      <c r="V376" s="2088"/>
      <c r="W376" s="2088"/>
      <c r="Y376" s="25" t="s">
        <v>312</v>
      </c>
      <c r="AA376" s="25"/>
      <c r="AB376" s="25" t="s">
        <v>313</v>
      </c>
      <c r="AD376" s="2088"/>
      <c r="AE376" s="2088"/>
      <c r="AF376" s="4" t="s">
        <v>314</v>
      </c>
      <c r="AG376" s="2088"/>
      <c r="AH376" s="2088"/>
    </row>
    <row r="377" spans="1:36" ht="12.75" customHeight="1">
      <c r="E377" s="7" t="s">
        <v>1088</v>
      </c>
      <c r="F377" s="7"/>
      <c r="G377" s="7"/>
      <c r="H377" s="7"/>
      <c r="I377" s="7"/>
      <c r="J377" s="7"/>
      <c r="K377" s="7"/>
      <c r="L377" s="7"/>
      <c r="N377" s="2088"/>
      <c r="O377" s="2088"/>
      <c r="P377" s="2088"/>
    </row>
    <row r="378" spans="1:36" ht="12.75" customHeight="1">
      <c r="E378" s="381" t="s">
        <v>1089</v>
      </c>
      <c r="F378" s="7"/>
      <c r="G378" s="7"/>
      <c r="H378" s="7"/>
      <c r="I378" s="7"/>
      <c r="J378" s="7"/>
      <c r="K378" s="7"/>
      <c r="L378" s="7"/>
      <c r="AG378" s="2239" t="s">
        <v>625</v>
      </c>
      <c r="AH378" s="2239"/>
    </row>
    <row r="379" spans="1:36" ht="12.75" customHeight="1">
      <c r="E379" s="7"/>
      <c r="F379" s="7"/>
      <c r="G379" s="7" t="s">
        <v>1110</v>
      </c>
      <c r="H379" s="7"/>
      <c r="I379" s="7"/>
      <c r="J379" s="7"/>
      <c r="K379" s="7"/>
      <c r="L379" s="7"/>
      <c r="AG379" s="2239" t="s">
        <v>625</v>
      </c>
      <c r="AH379" s="2239"/>
    </row>
    <row r="380" spans="1:36" ht="12.75" customHeight="1">
      <c r="E380" s="7"/>
      <c r="F380" s="7"/>
      <c r="G380" s="508" t="s">
        <v>1090</v>
      </c>
      <c r="H380" s="7"/>
      <c r="I380" s="7"/>
      <c r="J380" s="7"/>
      <c r="K380" s="7"/>
      <c r="L380" s="7"/>
      <c r="V380" s="2055" t="s">
        <v>625</v>
      </c>
      <c r="W380" s="2055"/>
      <c r="Y380" s="35" t="s">
        <v>1059</v>
      </c>
    </row>
    <row r="381" spans="1:36" ht="12.75" customHeight="1">
      <c r="E381" s="7" t="s">
        <v>1060</v>
      </c>
      <c r="F381" s="7"/>
      <c r="G381" s="7"/>
      <c r="H381" s="7"/>
      <c r="I381" s="7"/>
      <c r="J381" s="7"/>
      <c r="K381" s="7"/>
      <c r="L381" s="7"/>
      <c r="V381" s="2055" t="s">
        <v>625</v>
      </c>
      <c r="W381" s="2055"/>
      <c r="Y381" s="7" t="s">
        <v>1061</v>
      </c>
    </row>
    <row r="382" spans="1:36" ht="12.75" customHeight="1"/>
    <row r="383" spans="1:36" ht="12.75" customHeight="1">
      <c r="A383" s="50" t="s">
        <v>82</v>
      </c>
      <c r="B383" s="50"/>
    </row>
    <row r="384" spans="1:36" ht="12.75" customHeight="1">
      <c r="D384" s="12" t="s">
        <v>448</v>
      </c>
      <c r="J384" s="2040" t="s">
        <v>2631</v>
      </c>
      <c r="K384" s="2040"/>
      <c r="L384" s="2040"/>
      <c r="M384" s="2040"/>
      <c r="N384" s="2040"/>
      <c r="O384" s="2040"/>
      <c r="P384" s="2040"/>
      <c r="Q384" s="2040"/>
      <c r="R384" s="2040"/>
      <c r="S384" s="2040"/>
      <c r="T384" s="2040"/>
      <c r="U384" s="2040"/>
      <c r="V384" s="14" t="s">
        <v>88</v>
      </c>
      <c r="W384" s="14"/>
      <c r="X384" s="14"/>
      <c r="Y384" s="14"/>
      <c r="Z384" s="14"/>
      <c r="AA384" s="14"/>
      <c r="AB384" s="14"/>
      <c r="AC384" s="2040"/>
      <c r="AD384" s="2040"/>
      <c r="AE384" s="2040"/>
      <c r="AF384" s="2040"/>
      <c r="AG384" s="2040"/>
      <c r="AH384" s="2040"/>
      <c r="AI384" s="2040"/>
      <c r="AJ384" s="2040"/>
    </row>
    <row r="385" spans="1:96" ht="12.75" customHeight="1">
      <c r="A385" s="718"/>
      <c r="B385" s="718"/>
      <c r="C385" s="718"/>
      <c r="D385" s="58" t="s">
        <v>1380</v>
      </c>
      <c r="E385" s="718"/>
      <c r="F385" s="718"/>
      <c r="G385" s="718"/>
      <c r="H385" s="718"/>
      <c r="I385" s="718"/>
      <c r="J385" s="2032" t="s">
        <v>2632</v>
      </c>
      <c r="K385" s="2032"/>
      <c r="L385" s="2032"/>
      <c r="M385" s="2032"/>
      <c r="N385" s="2032"/>
      <c r="O385" s="2032"/>
      <c r="P385" s="2032"/>
      <c r="Q385" s="2032"/>
      <c r="R385" s="2032"/>
      <c r="S385" s="2032"/>
      <c r="T385" s="2032"/>
      <c r="U385" s="2032"/>
      <c r="V385" s="58" t="s">
        <v>1380</v>
      </c>
      <c r="W385" s="14"/>
      <c r="X385" s="14"/>
      <c r="Y385" s="14"/>
      <c r="Z385" s="14"/>
      <c r="AA385" s="14"/>
      <c r="AB385" s="14"/>
      <c r="AC385" s="2040"/>
      <c r="AD385" s="2040"/>
      <c r="AE385" s="2040"/>
      <c r="AF385" s="2040"/>
      <c r="AG385" s="2040"/>
      <c r="AH385" s="2040"/>
      <c r="AI385" s="2040"/>
      <c r="AJ385" s="2040"/>
      <c r="AK385" s="718"/>
      <c r="AL385" s="718"/>
    </row>
    <row r="386" spans="1:96" ht="12.75" customHeight="1">
      <c r="A386" s="718"/>
      <c r="B386" s="718"/>
      <c r="C386" s="718"/>
      <c r="D386" s="58" t="s">
        <v>463</v>
      </c>
      <c r="E386" s="718"/>
      <c r="F386" s="718"/>
      <c r="G386" s="718"/>
      <c r="H386" s="718"/>
      <c r="I386" s="718"/>
      <c r="J386" s="2032" t="s">
        <v>2632</v>
      </c>
      <c r="K386" s="2032"/>
      <c r="L386" s="2032"/>
      <c r="M386" s="2032"/>
      <c r="N386" s="2032"/>
      <c r="O386" s="2032"/>
      <c r="P386" s="2032"/>
      <c r="Q386" s="2032"/>
      <c r="R386" s="2032"/>
      <c r="S386" s="2032"/>
      <c r="T386" s="2032"/>
      <c r="U386" s="2032"/>
      <c r="V386" s="58" t="s">
        <v>463</v>
      </c>
      <c r="W386" s="14"/>
      <c r="X386" s="14"/>
      <c r="Y386" s="14"/>
      <c r="Z386" s="14"/>
      <c r="AA386" s="14"/>
      <c r="AB386" s="14"/>
      <c r="AC386" s="2040"/>
      <c r="AD386" s="2040"/>
      <c r="AE386" s="2040"/>
      <c r="AF386" s="2040"/>
      <c r="AG386" s="2040"/>
      <c r="AH386" s="2040"/>
      <c r="AI386" s="2040"/>
      <c r="AJ386" s="2040"/>
      <c r="AK386" s="718"/>
      <c r="AL386" s="718"/>
    </row>
    <row r="387" spans="1:96" ht="12.75" customHeight="1">
      <c r="A387" s="718"/>
      <c r="B387" s="718"/>
      <c r="C387" s="718"/>
      <c r="D387" s="478" t="s">
        <v>1376</v>
      </c>
      <c r="E387" s="718"/>
      <c r="F387" s="718"/>
      <c r="G387" s="718"/>
      <c r="H387" s="718"/>
      <c r="I387" s="88"/>
      <c r="J387" s="2063" t="s">
        <v>2632</v>
      </c>
      <c r="K387" s="2063"/>
      <c r="L387" s="2063"/>
      <c r="M387" s="2063"/>
      <c r="N387" s="2063"/>
      <c r="O387" s="2063"/>
      <c r="P387" s="2063"/>
      <c r="Q387" s="2063"/>
      <c r="R387" s="2063"/>
      <c r="S387" s="2063"/>
      <c r="T387" s="2063"/>
      <c r="U387" s="2063"/>
      <c r="V387" s="2040"/>
      <c r="W387" s="2040"/>
      <c r="X387" s="2040"/>
      <c r="Y387" s="2040"/>
      <c r="Z387" s="2040"/>
      <c r="AA387" s="2040"/>
      <c r="AB387" s="2040"/>
      <c r="AC387" s="2040"/>
      <c r="AD387" s="2040"/>
      <c r="AE387" s="2040"/>
      <c r="AF387" s="2040"/>
      <c r="AG387" s="2040"/>
      <c r="AH387" s="2040"/>
      <c r="AI387" s="2040"/>
      <c r="AJ387" s="2040"/>
      <c r="AK387" s="718"/>
      <c r="AL387" s="718"/>
    </row>
    <row r="388" spans="1:96" ht="12.75" customHeight="1">
      <c r="D388" s="12" t="s">
        <v>4</v>
      </c>
      <c r="Q388" s="2243" t="s">
        <v>2632</v>
      </c>
      <c r="R388" s="2244"/>
      <c r="S388" s="2244"/>
      <c r="T388" s="2244"/>
      <c r="U388" s="2244"/>
      <c r="V388" s="12" t="s">
        <v>317</v>
      </c>
      <c r="AI388" s="2055" t="s">
        <v>705</v>
      </c>
      <c r="AJ388" s="2055"/>
    </row>
    <row r="389" spans="1:96" ht="12.75" customHeight="1">
      <c r="D389" s="12" t="s">
        <v>5</v>
      </c>
      <c r="Q389" s="2322" t="s">
        <v>625</v>
      </c>
      <c r="R389" s="2361"/>
      <c r="S389" s="2361"/>
      <c r="T389" s="2361"/>
      <c r="U389" s="2361"/>
      <c r="W389" s="33" t="s">
        <v>78</v>
      </c>
      <c r="AG389" s="2085"/>
      <c r="AH389" s="2085"/>
      <c r="AI389" s="2085"/>
      <c r="AJ389" s="2085"/>
    </row>
    <row r="390" spans="1:96" ht="12.75" customHeight="1">
      <c r="D390" s="12" t="s">
        <v>447</v>
      </c>
      <c r="Q390" s="2245">
        <v>2655000</v>
      </c>
      <c r="R390" s="2245"/>
      <c r="S390" s="2245"/>
      <c r="T390" s="2245"/>
      <c r="U390" s="2245"/>
      <c r="V390" s="58" t="s">
        <v>1379</v>
      </c>
      <c r="AG390" s="2246"/>
      <c r="AH390" s="2246"/>
      <c r="AI390" s="2246"/>
      <c r="AJ390" s="2246"/>
    </row>
    <row r="391" spans="1:96" ht="12.75" customHeight="1">
      <c r="D391" s="12" t="s">
        <v>93</v>
      </c>
      <c r="I391" s="2205"/>
      <c r="J391" s="2205"/>
      <c r="K391" s="2205"/>
      <c r="L391" s="2205"/>
      <c r="M391" s="2205"/>
      <c r="N391" s="2205"/>
      <c r="Q391" s="57" t="s">
        <v>211</v>
      </c>
      <c r="S391" s="2242"/>
      <c r="T391" s="2242"/>
      <c r="U391" s="2242"/>
      <c r="V391" s="12" t="s">
        <v>77</v>
      </c>
      <c r="AI391" s="2055" t="s">
        <v>705</v>
      </c>
      <c r="AJ391" s="2055"/>
    </row>
    <row r="392" spans="1:96" ht="12.75" customHeight="1">
      <c r="D392" s="12" t="s">
        <v>318</v>
      </c>
      <c r="Q392" s="2030">
        <v>2084</v>
      </c>
      <c r="R392" s="2030"/>
      <c r="S392" s="2030"/>
      <c r="T392" s="2030"/>
      <c r="U392" s="2030"/>
      <c r="V392" s="12" t="s">
        <v>319</v>
      </c>
      <c r="AG392" s="2085">
        <v>75000</v>
      </c>
      <c r="AH392" s="2085"/>
      <c r="AI392" s="2085"/>
      <c r="AJ392" s="2085"/>
    </row>
    <row r="393" spans="1:96" ht="12.75" customHeight="1">
      <c r="D393" s="12" t="s">
        <v>320</v>
      </c>
      <c r="Q393" s="2208">
        <v>1.11E-2</v>
      </c>
      <c r="R393" s="2208"/>
      <c r="S393" s="2208"/>
      <c r="T393" s="2208"/>
      <c r="U393" s="2208"/>
      <c r="V393" s="718" t="s">
        <v>1356</v>
      </c>
      <c r="AG393" s="2085"/>
      <c r="AH393" s="2085"/>
      <c r="AI393" s="2085"/>
      <c r="AJ393" s="2085"/>
    </row>
    <row r="394" spans="1:96" ht="12.75">
      <c r="D394" s="718" t="s">
        <v>1355</v>
      </c>
      <c r="V394" s="718"/>
      <c r="AG394" s="2085"/>
      <c r="AH394" s="2085"/>
      <c r="AI394" s="2085"/>
      <c r="AJ394" s="2085"/>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2019</v>
      </c>
      <c r="AG396" s="747"/>
      <c r="AH396" s="747"/>
      <c r="AI396" s="2055" t="s">
        <v>705</v>
      </c>
      <c r="AJ396" s="2055"/>
      <c r="AM396" s="39"/>
      <c r="AN396" s="39"/>
      <c r="AO396" s="39"/>
      <c r="AP396" s="39"/>
      <c r="AQ396" s="39"/>
      <c r="AR396" s="39"/>
      <c r="AS396" s="39"/>
      <c r="AT396" s="39"/>
      <c r="AU396" s="39"/>
      <c r="AV396" s="39"/>
      <c r="AW396" s="39"/>
      <c r="AX396" s="39"/>
      <c r="AY396" s="39"/>
      <c r="CR396" s="25"/>
    </row>
    <row r="397" spans="1:96" s="718" customFormat="1" ht="12.75">
      <c r="D397" s="58" t="s">
        <v>2021</v>
      </c>
      <c r="T397" s="2116"/>
      <c r="U397" s="2116"/>
      <c r="V397" s="2116"/>
      <c r="W397" s="2116"/>
      <c r="X397" s="2116"/>
      <c r="Y397" s="2116"/>
      <c r="Z397" s="2116"/>
      <c r="AA397" s="2116"/>
      <c r="AB397" s="2116"/>
      <c r="AC397" s="2116"/>
      <c r="AD397" s="2116"/>
      <c r="AE397" s="2116"/>
      <c r="AF397" s="2116"/>
      <c r="AG397" s="2116"/>
      <c r="AH397" s="2116"/>
      <c r="AI397" s="2116"/>
      <c r="AJ397" s="2116"/>
      <c r="AM397" s="39"/>
      <c r="AN397" s="39"/>
      <c r="AO397" s="39"/>
      <c r="AP397" s="39"/>
      <c r="AQ397" s="39"/>
      <c r="AR397" s="39"/>
      <c r="AS397" s="39"/>
      <c r="AT397" s="39"/>
      <c r="AU397" s="39"/>
      <c r="AV397" s="39"/>
      <c r="AW397" s="39"/>
      <c r="AX397" s="39"/>
      <c r="AY397" s="39"/>
      <c r="CR397" s="25"/>
    </row>
    <row r="398" spans="1:96" s="718" customFormat="1" ht="12.75">
      <c r="D398" s="58" t="s">
        <v>2020</v>
      </c>
      <c r="T398" s="2116"/>
      <c r="U398" s="2116"/>
      <c r="V398" s="2116"/>
      <c r="W398" s="2116"/>
      <c r="X398" s="2116"/>
      <c r="Y398" s="2116"/>
      <c r="Z398" s="2116"/>
      <c r="AA398" s="2116"/>
      <c r="AB398" s="2116"/>
      <c r="AC398" s="2116"/>
      <c r="AD398" s="2116"/>
      <c r="AE398" s="2116"/>
      <c r="AF398" s="2116"/>
      <c r="AG398" s="2116"/>
      <c r="AH398" s="2116"/>
      <c r="AI398" s="2116"/>
      <c r="AJ398" s="2116"/>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2013</v>
      </c>
      <c r="E400" s="718"/>
      <c r="F400" s="718"/>
      <c r="G400" s="718"/>
      <c r="H400" s="718"/>
      <c r="I400" s="718"/>
      <c r="J400" s="718"/>
      <c r="K400" s="718"/>
      <c r="L400" s="718"/>
      <c r="M400" s="718"/>
      <c r="N400" s="718"/>
      <c r="O400" s="718"/>
      <c r="P400" s="718"/>
      <c r="Q400" s="718"/>
      <c r="R400" s="718"/>
      <c r="S400" s="2116" t="s">
        <v>705</v>
      </c>
      <c r="T400" s="2116"/>
      <c r="U400" s="2116"/>
      <c r="V400" s="478" t="s">
        <v>2014</v>
      </c>
      <c r="W400" s="718"/>
      <c r="X400" s="718"/>
      <c r="Y400" s="718"/>
      <c r="Z400" s="718"/>
      <c r="AA400" s="718"/>
      <c r="AB400" s="39"/>
      <c r="AC400" s="39"/>
      <c r="AD400" s="39"/>
      <c r="AE400" s="39"/>
      <c r="AF400" s="39"/>
      <c r="AG400" s="2209"/>
      <c r="AH400" s="2209"/>
      <c r="AI400" s="2209"/>
      <c r="AJ400" s="2209"/>
      <c r="AK400" s="39"/>
      <c r="AL400" s="718"/>
    </row>
    <row r="401" spans="1:96" s="718" customFormat="1" ht="12.75">
      <c r="D401" s="58" t="s">
        <v>2010</v>
      </c>
      <c r="S401" s="2116" t="s">
        <v>625</v>
      </c>
      <c r="T401" s="2116"/>
      <c r="U401" s="2116"/>
      <c r="V401" s="478" t="s">
        <v>2016</v>
      </c>
      <c r="AB401" s="39"/>
      <c r="AC401" s="39"/>
      <c r="AD401" s="39"/>
      <c r="AE401" s="2155"/>
      <c r="AF401" s="2155"/>
      <c r="AG401" s="2155"/>
      <c r="AH401" s="2155"/>
      <c r="AI401" s="2155"/>
      <c r="AJ401" s="2155"/>
      <c r="AK401" s="39"/>
      <c r="AM401" s="39"/>
      <c r="AN401" s="39"/>
      <c r="AO401" s="39"/>
      <c r="AP401" s="39"/>
      <c r="AQ401" s="39"/>
      <c r="AR401" s="39"/>
      <c r="AS401" s="39"/>
      <c r="AT401" s="39"/>
      <c r="AU401" s="39"/>
      <c r="AV401" s="39"/>
      <c r="AW401" s="39"/>
      <c r="AX401" s="39"/>
      <c r="AY401" s="39"/>
      <c r="CR401" s="25"/>
    </row>
    <row r="402" spans="1:96" s="718" customFormat="1" ht="12.75">
      <c r="D402" s="58" t="s">
        <v>2012</v>
      </c>
      <c r="K402" s="2102"/>
      <c r="L402" s="2102"/>
      <c r="M402" s="2102"/>
      <c r="N402" s="2102"/>
      <c r="O402" s="2102"/>
      <c r="P402" s="2102"/>
      <c r="Q402" s="2102"/>
      <c r="R402" s="2102"/>
      <c r="S402" s="2102"/>
      <c r="T402" s="2102"/>
      <c r="U402" s="2102"/>
      <c r="V402" s="2102"/>
      <c r="W402" s="2102"/>
      <c r="X402" s="2102"/>
      <c r="Y402" s="2102"/>
      <c r="Z402" s="2102"/>
      <c r="AA402" s="2102"/>
      <c r="AB402" s="2102"/>
      <c r="AC402" s="2102"/>
      <c r="AD402" s="2102"/>
      <c r="AE402" s="2102"/>
      <c r="AF402" s="2102"/>
      <c r="AG402" s="2102"/>
      <c r="AH402" s="2102"/>
      <c r="AI402" s="2102"/>
      <c r="AJ402" s="2102"/>
      <c r="AK402" s="39"/>
      <c r="AM402" s="39"/>
      <c r="AN402" s="39"/>
      <c r="AO402" s="39"/>
      <c r="AP402" s="39"/>
      <c r="AQ402" s="39"/>
      <c r="AR402" s="39"/>
      <c r="AS402" s="39"/>
      <c r="AT402" s="39"/>
      <c r="AU402" s="39"/>
      <c r="AV402" s="39"/>
      <c r="AW402" s="39"/>
      <c r="AX402" s="39"/>
      <c r="AY402" s="39"/>
      <c r="CR402" s="25"/>
    </row>
    <row r="403" spans="1:96" s="718" customFormat="1" ht="12.75">
      <c r="D403" s="58" t="s">
        <v>2015</v>
      </c>
      <c r="K403" s="2102"/>
      <c r="L403" s="2102"/>
      <c r="M403" s="2102"/>
      <c r="N403" s="2102"/>
      <c r="O403" s="2102"/>
      <c r="P403" s="2102"/>
      <c r="Q403" s="2102"/>
      <c r="R403" s="2102"/>
      <c r="S403" s="2102"/>
      <c r="T403" s="2102"/>
      <c r="U403" s="2102"/>
      <c r="V403" s="2102"/>
      <c r="W403" s="2102"/>
      <c r="X403" s="2102"/>
      <c r="Y403" s="2102"/>
      <c r="Z403" s="2102"/>
      <c r="AA403" s="2102"/>
      <c r="AB403" s="2102"/>
      <c r="AC403" s="2102"/>
      <c r="AD403" s="2102"/>
      <c r="AE403" s="2102"/>
      <c r="AF403" s="2102"/>
      <c r="AG403" s="2102"/>
      <c r="AH403" s="2102"/>
      <c r="AI403" s="2102"/>
      <c r="AJ403" s="2102"/>
      <c r="AK403" s="39"/>
      <c r="AM403" s="39"/>
      <c r="AN403" s="39"/>
      <c r="AO403" s="39"/>
      <c r="AP403" s="39"/>
      <c r="AQ403" s="39"/>
      <c r="AR403" s="39"/>
      <c r="AS403" s="39"/>
      <c r="AT403" s="39"/>
      <c r="AU403" s="39"/>
      <c r="AV403" s="39"/>
      <c r="AW403" s="39"/>
      <c r="AX403" s="39"/>
      <c r="AY403" s="39"/>
      <c r="CR403" s="25"/>
    </row>
    <row r="404" spans="1:96" s="718" customFormat="1" ht="12.75" customHeight="1">
      <c r="D404" s="181" t="s">
        <v>2018</v>
      </c>
      <c r="E404" s="1518"/>
      <c r="F404" s="1518"/>
      <c r="G404" s="1518"/>
      <c r="H404" s="1518"/>
      <c r="I404" s="1518"/>
      <c r="J404" s="1518"/>
      <c r="K404" s="1518"/>
      <c r="L404" s="1518"/>
      <c r="M404" s="1518"/>
      <c r="N404" s="1518"/>
      <c r="O404" s="1518"/>
      <c r="P404" s="1518"/>
      <c r="Q404" s="1518"/>
      <c r="R404" s="1518"/>
      <c r="S404" s="2158" t="s">
        <v>1382</v>
      </c>
      <c r="T404" s="2158"/>
      <c r="U404" s="2158"/>
      <c r="V404" s="2158"/>
      <c r="W404" s="2158"/>
      <c r="X404" s="2158"/>
      <c r="Y404" s="2158"/>
      <c r="Z404" s="2158"/>
      <c r="AA404" s="2158"/>
      <c r="AB404" s="2158"/>
      <c r="AC404" s="2158"/>
      <c r="AD404" s="2158"/>
      <c r="AE404" s="2158"/>
      <c r="AF404" s="2158"/>
      <c r="AG404" s="2158"/>
      <c r="AH404" s="2158"/>
      <c r="AI404" s="2158"/>
      <c r="AJ404" s="2158"/>
      <c r="AK404" s="39"/>
      <c r="AL404" s="39"/>
      <c r="AM404" s="39"/>
      <c r="AN404" s="39"/>
      <c r="AO404" s="39"/>
      <c r="AP404" s="39"/>
      <c r="AQ404" s="39"/>
      <c r="AR404" s="39"/>
      <c r="AS404" s="39"/>
      <c r="AT404" s="39"/>
      <c r="AU404" s="39"/>
      <c r="AV404" s="39"/>
      <c r="AW404" s="39"/>
      <c r="AX404" s="39"/>
      <c r="AY404" s="39"/>
      <c r="CR404" s="25"/>
    </row>
    <row r="405" spans="1:96" s="718" customFormat="1" ht="12.75">
      <c r="D405" s="2157" t="s">
        <v>2017</v>
      </c>
      <c r="E405" s="2157"/>
      <c r="F405" s="2157"/>
      <c r="G405" s="2157"/>
      <c r="H405" s="2157"/>
      <c r="I405" s="2157"/>
      <c r="J405" s="2157"/>
      <c r="K405" s="2157"/>
      <c r="L405" s="2157"/>
      <c r="M405" s="2157"/>
      <c r="N405" s="2157"/>
      <c r="O405" s="2157"/>
      <c r="P405" s="2157"/>
      <c r="Q405" s="2157"/>
      <c r="R405" s="2157"/>
      <c r="S405" s="2157"/>
      <c r="T405" s="2157"/>
      <c r="U405" s="2157"/>
      <c r="V405" s="2157"/>
      <c r="W405" s="2157"/>
      <c r="X405" s="2157"/>
      <c r="Y405" s="2157"/>
      <c r="Z405" s="2157"/>
      <c r="AA405" s="2157"/>
      <c r="AB405" s="2157"/>
      <c r="AC405" s="2157"/>
      <c r="AD405" s="2157"/>
      <c r="AE405" s="2157"/>
      <c r="AF405" s="2157"/>
      <c r="AG405" s="2157"/>
      <c r="AH405" s="2157"/>
      <c r="AI405" s="2157"/>
      <c r="AJ405" s="2157"/>
      <c r="AK405" s="39"/>
      <c r="AL405" s="39"/>
      <c r="AM405" s="39"/>
      <c r="AN405" s="39"/>
      <c r="AO405" s="39"/>
      <c r="AP405" s="39"/>
      <c r="AQ405" s="39"/>
      <c r="AR405" s="39"/>
      <c r="AS405" s="39"/>
      <c r="AT405" s="39"/>
      <c r="AU405" s="39"/>
      <c r="AV405" s="39"/>
      <c r="AW405" s="39"/>
      <c r="AX405" s="39"/>
      <c r="AY405" s="39"/>
      <c r="CR405" s="25"/>
    </row>
    <row r="406" spans="1:96" s="718" customFormat="1" ht="12.75">
      <c r="D406" s="2157"/>
      <c r="E406" s="2157"/>
      <c r="F406" s="2157"/>
      <c r="G406" s="2157"/>
      <c r="H406" s="2157"/>
      <c r="I406" s="2157"/>
      <c r="J406" s="2157"/>
      <c r="K406" s="2157"/>
      <c r="L406" s="2157"/>
      <c r="M406" s="2157"/>
      <c r="N406" s="2157"/>
      <c r="O406" s="2157"/>
      <c r="P406" s="2157"/>
      <c r="Q406" s="2157"/>
      <c r="R406" s="2157"/>
      <c r="S406" s="2157"/>
      <c r="T406" s="2157"/>
      <c r="U406" s="2157"/>
      <c r="V406" s="2157"/>
      <c r="W406" s="2157"/>
      <c r="X406" s="2157"/>
      <c r="Y406" s="2157"/>
      <c r="Z406" s="2157"/>
      <c r="AA406" s="2157"/>
      <c r="AB406" s="2157"/>
      <c r="AC406" s="2157"/>
      <c r="AD406" s="2157"/>
      <c r="AE406" s="2157"/>
      <c r="AF406" s="2157"/>
      <c r="AG406" s="2157"/>
      <c r="AH406" s="2157"/>
      <c r="AI406" s="2157"/>
      <c r="AJ406" s="2157"/>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43" t="s">
        <v>2584</v>
      </c>
      <c r="J409" s="2043"/>
      <c r="K409" s="2043"/>
      <c r="L409" s="2043"/>
      <c r="M409" s="2043"/>
      <c r="N409" s="2043"/>
      <c r="O409" s="2043"/>
      <c r="P409" s="2043"/>
      <c r="Q409" s="2043"/>
      <c r="R409" s="2043"/>
      <c r="S409" s="2043"/>
      <c r="T409" s="2043"/>
      <c r="U409" s="2043"/>
      <c r="V409" s="2043"/>
      <c r="W409" s="2043"/>
      <c r="X409" s="2043"/>
      <c r="Y409" s="2043"/>
      <c r="Z409" s="2043"/>
      <c r="AA409" s="2043"/>
      <c r="AB409" s="2043"/>
      <c r="AC409" s="2043"/>
      <c r="AD409" s="2043"/>
      <c r="AE409" s="2043"/>
    </row>
    <row r="410" spans="1:96" ht="12.75" customHeight="1">
      <c r="C410" s="25"/>
      <c r="D410" s="25"/>
      <c r="E410" s="12" t="s">
        <v>111</v>
      </c>
      <c r="F410" s="25"/>
      <c r="G410" s="25"/>
      <c r="H410" s="25"/>
      <c r="I410" s="25"/>
      <c r="J410" s="25"/>
      <c r="K410" s="25"/>
      <c r="L410" s="25"/>
      <c r="M410" s="25"/>
      <c r="N410" s="25"/>
      <c r="O410" s="25"/>
      <c r="P410" s="718"/>
      <c r="Q410" s="718"/>
      <c r="R410" s="2055" t="s">
        <v>625</v>
      </c>
      <c r="S410" s="2055"/>
      <c r="T410" s="12" t="s">
        <v>603</v>
      </c>
      <c r="U410" s="718"/>
      <c r="V410" s="718"/>
      <c r="W410" s="718"/>
      <c r="X410" s="718"/>
      <c r="Y410" s="718"/>
      <c r="Z410" s="718"/>
      <c r="AA410" s="718"/>
      <c r="AB410" s="718"/>
      <c r="AC410" s="718"/>
      <c r="AD410" s="2028">
        <v>0</v>
      </c>
      <c r="AE410" s="2028"/>
      <c r="AF410" s="718"/>
    </row>
    <row r="411" spans="1:96" ht="12.75">
      <c r="C411" s="25"/>
      <c r="E411" s="12" t="s">
        <v>112</v>
      </c>
      <c r="F411" s="718"/>
      <c r="G411" s="718"/>
      <c r="H411" s="718"/>
      <c r="I411" s="718"/>
      <c r="J411" s="718"/>
      <c r="K411" s="718"/>
      <c r="L411" s="718"/>
      <c r="M411" s="718"/>
      <c r="N411" s="25"/>
      <c r="O411" s="25"/>
      <c r="P411" s="718"/>
      <c r="Q411" s="718"/>
      <c r="R411" s="2055" t="s">
        <v>577</v>
      </c>
      <c r="S411" s="2055"/>
      <c r="T411" s="12" t="s">
        <v>603</v>
      </c>
      <c r="U411" s="718"/>
      <c r="V411" s="718"/>
      <c r="W411" s="718"/>
      <c r="X411" s="718"/>
      <c r="Y411" s="718"/>
      <c r="Z411" s="718"/>
      <c r="AA411" s="718"/>
      <c r="AB411" s="718"/>
      <c r="AC411" s="718"/>
      <c r="AD411" s="2028">
        <v>3</v>
      </c>
      <c r="AE411" s="2028"/>
      <c r="AF411" s="718"/>
    </row>
    <row r="412" spans="1:96" ht="12.75" customHeight="1">
      <c r="C412" s="25"/>
      <c r="E412" s="12" t="s">
        <v>113</v>
      </c>
      <c r="F412" s="718"/>
      <c r="G412" s="718"/>
      <c r="H412" s="718"/>
      <c r="I412" s="718"/>
      <c r="J412" s="718"/>
      <c r="K412" s="718"/>
      <c r="L412" s="718"/>
      <c r="M412" s="718"/>
      <c r="N412" s="25"/>
      <c r="O412" s="25"/>
      <c r="P412" s="718"/>
      <c r="Q412" s="718"/>
      <c r="R412" s="718"/>
      <c r="S412" s="2055" t="s">
        <v>625</v>
      </c>
      <c r="T412" s="2055"/>
      <c r="U412" s="718"/>
      <c r="V412" s="718"/>
      <c r="W412" s="718"/>
      <c r="X412" s="718"/>
      <c r="Y412" s="718"/>
      <c r="Z412" s="718"/>
      <c r="AA412" s="718"/>
      <c r="AB412" s="718"/>
      <c r="AC412" s="718"/>
      <c r="AD412" s="718"/>
      <c r="AE412" s="718"/>
      <c r="AF412" s="718"/>
    </row>
    <row r="413" spans="1:96" ht="12.75" customHeight="1">
      <c r="E413" s="12" t="s">
        <v>174</v>
      </c>
      <c r="F413" s="718"/>
      <c r="G413" s="718"/>
      <c r="H413" s="2206" t="s">
        <v>342</v>
      </c>
      <c r="I413" s="2206"/>
      <c r="J413" s="2206"/>
      <c r="K413" s="2206"/>
      <c r="L413" s="2206"/>
      <c r="M413" s="2206"/>
      <c r="N413" s="2206"/>
      <c r="O413" s="2206"/>
      <c r="P413" s="2206"/>
      <c r="Q413" s="2206"/>
      <c r="R413" s="2206"/>
      <c r="S413" s="2206"/>
      <c r="T413" s="2206"/>
      <c r="U413" s="2206"/>
      <c r="V413" s="2206"/>
      <c r="W413" s="2206"/>
      <c r="X413" s="2206"/>
      <c r="Y413" s="2206"/>
      <c r="Z413" s="2206"/>
      <c r="AA413" s="2206"/>
      <c r="AB413" s="2206"/>
      <c r="AC413" s="2206"/>
      <c r="AD413" s="2206"/>
      <c r="AE413" s="2206"/>
      <c r="AF413" s="718"/>
    </row>
    <row r="414" spans="1:96" ht="12.75" customHeight="1">
      <c r="E414" s="25"/>
      <c r="F414" s="718"/>
      <c r="G414" s="718"/>
      <c r="H414" s="2207"/>
      <c r="I414" s="2207"/>
      <c r="J414" s="2207"/>
      <c r="K414" s="2207"/>
      <c r="L414" s="2207"/>
      <c r="M414" s="2207"/>
      <c r="N414" s="2207"/>
      <c r="O414" s="2207"/>
      <c r="P414" s="2207"/>
      <c r="Q414" s="2207"/>
      <c r="R414" s="2207"/>
      <c r="S414" s="2207"/>
      <c r="T414" s="2207"/>
      <c r="U414" s="2207"/>
      <c r="V414" s="2207"/>
      <c r="W414" s="2207"/>
      <c r="X414" s="2207"/>
      <c r="Y414" s="2207"/>
      <c r="Z414" s="2207"/>
      <c r="AA414" s="2207"/>
      <c r="AB414" s="2207"/>
      <c r="AC414" s="2207"/>
      <c r="AD414" s="2207"/>
      <c r="AE414" s="2207"/>
      <c r="AF414" s="718"/>
    </row>
    <row r="415" spans="1:96" ht="12.75" customHeight="1"/>
    <row r="416" spans="1:96" ht="12.75" customHeight="1">
      <c r="A416" s="50" t="s">
        <v>624</v>
      </c>
      <c r="B416" s="50"/>
      <c r="C416" s="50"/>
      <c r="D416" s="50" t="s">
        <v>119</v>
      </c>
      <c r="AF416" s="50" t="s">
        <v>1035</v>
      </c>
    </row>
    <row r="417" spans="1:96" ht="12.75" customHeight="1">
      <c r="E417" s="2088"/>
      <c r="F417" s="2088"/>
      <c r="G417" s="2088"/>
      <c r="H417" s="23" t="s">
        <v>120</v>
      </c>
      <c r="I417" s="2088"/>
      <c r="J417" s="2088"/>
      <c r="K417" s="2088"/>
      <c r="L417" s="12" t="s">
        <v>121</v>
      </c>
      <c r="N417" s="141" t="s">
        <v>609</v>
      </c>
      <c r="P417" s="2241">
        <v>2.0299999999999998</v>
      </c>
      <c r="Q417" s="2241"/>
      <c r="R417" s="2241"/>
      <c r="S417" s="12" t="s">
        <v>122</v>
      </c>
      <c r="W417" s="2079">
        <f>IF(E417&gt;0,(E417*I417),(P417*43560))</f>
        <v>88426.799999999988</v>
      </c>
      <c r="X417" s="2079"/>
      <c r="Y417" s="2079"/>
      <c r="Z417" s="12" t="s">
        <v>123</v>
      </c>
      <c r="AF417" s="2249">
        <f>IF(P417&gt;0,(AG436/P417),(AG436/(W417/43560)))</f>
        <v>32.019704433497537</v>
      </c>
      <c r="AG417" s="2249"/>
      <c r="AH417" s="2249"/>
      <c r="AM417" s="238"/>
    </row>
    <row r="418" spans="1:96" ht="12.75">
      <c r="E418" s="12" t="s">
        <v>54</v>
      </c>
    </row>
    <row r="419" spans="1:96" ht="12.75" customHeight="1">
      <c r="E419" s="2137"/>
      <c r="F419" s="2137"/>
      <c r="G419" s="2137"/>
      <c r="H419" s="2137"/>
      <c r="I419" s="2137"/>
      <c r="J419" s="2137"/>
      <c r="K419" s="2137"/>
      <c r="L419" s="2137"/>
      <c r="M419" s="2137"/>
      <c r="N419" s="2137"/>
      <c r="O419" s="2137"/>
      <c r="P419" s="2137"/>
      <c r="Q419" s="2137"/>
      <c r="R419" s="2137"/>
      <c r="S419" s="2137"/>
      <c r="T419" s="2137"/>
      <c r="U419" s="2137"/>
      <c r="V419" s="2137"/>
      <c r="W419" s="2137"/>
      <c r="X419" s="2137"/>
      <c r="Y419" s="2137"/>
      <c r="Z419" s="2137"/>
      <c r="AA419" s="2137"/>
      <c r="AB419" s="2137"/>
      <c r="AC419" s="2137"/>
      <c r="AD419" s="2137"/>
      <c r="AE419" s="2137"/>
      <c r="AF419" s="2137"/>
      <c r="AG419" s="2137"/>
      <c r="AH419" s="2137"/>
      <c r="AI419" s="2137"/>
      <c r="AJ419" s="2137"/>
    </row>
    <row r="420" spans="1:96" s="39" customFormat="1" ht="12.75" customHeight="1">
      <c r="E420" s="253" t="s">
        <v>2232</v>
      </c>
      <c r="F420" s="1806"/>
      <c r="G420" s="1806"/>
      <c r="H420" s="1806"/>
      <c r="I420" s="2366">
        <v>2.0099999999999998</v>
      </c>
      <c r="J420" s="2366"/>
      <c r="K420" s="2366"/>
      <c r="L420" s="1806"/>
      <c r="M420" s="253"/>
      <c r="N420" s="1806"/>
      <c r="O420" s="1806"/>
      <c r="P420" s="2404">
        <f>(CS637+CS645+CS661)/I420</f>
        <v>72.139303482587067</v>
      </c>
      <c r="Q420" s="2404"/>
      <c r="R420" s="2404"/>
      <c r="S420" s="253" t="s">
        <v>2233</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626</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55">
        <v>7</v>
      </c>
      <c r="Q423" s="2055"/>
      <c r="S423" s="12" t="s">
        <v>194</v>
      </c>
      <c r="AE423" s="2055">
        <v>5</v>
      </c>
      <c r="AF423" s="2055"/>
    </row>
    <row r="424" spans="1:96" ht="12.75">
      <c r="E424" s="12" t="s">
        <v>195</v>
      </c>
      <c r="P424" s="2055">
        <v>2</v>
      </c>
      <c r="Q424" s="2055"/>
      <c r="S424" s="12" t="s">
        <v>136</v>
      </c>
      <c r="AE424" s="2055" t="s">
        <v>625</v>
      </c>
      <c r="AF424" s="2055"/>
    </row>
    <row r="425" spans="1:96" ht="12.75">
      <c r="F425" s="67" t="s">
        <v>137</v>
      </c>
    </row>
    <row r="426" spans="1:96" ht="12.75">
      <c r="F426" s="2089"/>
      <c r="G426" s="2089"/>
      <c r="H426" s="2089"/>
      <c r="I426" s="2089"/>
      <c r="J426" s="2089"/>
      <c r="K426" s="2089"/>
      <c r="L426" s="2089"/>
      <c r="M426" s="2089"/>
      <c r="N426" s="2089"/>
      <c r="O426" s="2089"/>
      <c r="P426" s="2089"/>
      <c r="Q426" s="2089"/>
      <c r="R426" s="2089"/>
      <c r="S426" s="2089"/>
      <c r="T426" s="2089"/>
      <c r="U426" s="2089"/>
      <c r="V426" s="2089"/>
      <c r="W426" s="2089"/>
      <c r="X426" s="2089"/>
      <c r="Y426" s="2089"/>
      <c r="Z426" s="2089"/>
      <c r="AA426" s="2089"/>
      <c r="AB426" s="2089"/>
      <c r="AC426" s="2089"/>
      <c r="AD426" s="2089"/>
      <c r="AE426" s="2089"/>
      <c r="AF426" s="2089"/>
      <c r="AG426" s="2089"/>
      <c r="AH426" s="2089"/>
    </row>
    <row r="427" spans="1:96" ht="12.75" customHeight="1">
      <c r="F427" s="2090"/>
      <c r="G427" s="2090"/>
      <c r="H427" s="2090"/>
      <c r="I427" s="2090"/>
      <c r="J427" s="2090"/>
      <c r="K427" s="2090"/>
      <c r="L427" s="2090"/>
      <c r="M427" s="2090"/>
      <c r="N427" s="2090"/>
      <c r="O427" s="2090"/>
      <c r="P427" s="2090"/>
      <c r="Q427" s="2090"/>
      <c r="R427" s="2090"/>
      <c r="S427" s="2090"/>
      <c r="T427" s="2090"/>
      <c r="U427" s="2090"/>
      <c r="V427" s="2090"/>
      <c r="W427" s="2090"/>
      <c r="X427" s="2090"/>
      <c r="Y427" s="2090"/>
      <c r="Z427" s="2090"/>
      <c r="AA427" s="2090"/>
      <c r="AB427" s="2090"/>
      <c r="AC427" s="2090"/>
      <c r="AD427" s="2090"/>
      <c r="AE427" s="2090"/>
      <c r="AF427" s="2090"/>
      <c r="AG427" s="2090"/>
      <c r="AH427" s="2090"/>
    </row>
    <row r="428" spans="1:96" ht="12.75" customHeight="1">
      <c r="E428" s="12" t="s">
        <v>642</v>
      </c>
      <c r="N428" s="39"/>
      <c r="O428" s="39"/>
      <c r="P428" s="234"/>
      <c r="Q428" s="2055" t="s">
        <v>577</v>
      </c>
      <c r="R428" s="2055"/>
      <c r="S428" s="39"/>
      <c r="T428" s="39"/>
      <c r="U428" s="39"/>
      <c r="V428" s="39"/>
      <c r="W428" s="39"/>
      <c r="X428" s="39"/>
      <c r="Y428" s="39"/>
      <c r="Z428" s="39"/>
      <c r="AA428" s="39"/>
      <c r="AB428" s="39"/>
      <c r="AC428" s="39"/>
      <c r="AD428" s="39"/>
      <c r="AG428" s="25"/>
    </row>
    <row r="429" spans="1:96" ht="12.75" customHeight="1">
      <c r="F429" s="12" t="s">
        <v>643</v>
      </c>
      <c r="N429" s="39"/>
      <c r="O429" s="39"/>
      <c r="P429" s="234"/>
      <c r="Q429" s="234"/>
      <c r="R429" s="39"/>
      <c r="S429" s="39"/>
      <c r="T429" s="39"/>
      <c r="U429" s="39"/>
      <c r="V429" s="39"/>
      <c r="W429" s="39"/>
      <c r="X429" s="39"/>
      <c r="Y429" s="39"/>
      <c r="Z429" s="39"/>
      <c r="AA429" s="39"/>
      <c r="AB429" s="39"/>
      <c r="AC429" s="39"/>
      <c r="AD429" s="39"/>
      <c r="AF429" s="2055" t="s">
        <v>625</v>
      </c>
      <c r="AG429" s="2118"/>
    </row>
    <row r="430" spans="1:96" ht="12.75" customHeight="1">
      <c r="S430" s="25"/>
      <c r="T430" s="25"/>
    </row>
    <row r="431" spans="1:96" ht="12.75" customHeight="1">
      <c r="A431" s="50"/>
      <c r="B431" s="50"/>
      <c r="C431" s="50"/>
      <c r="E431" s="7" t="s">
        <v>316</v>
      </c>
      <c r="Z431" s="2055" t="s">
        <v>705</v>
      </c>
      <c r="AA431" s="205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55" t="s">
        <v>625</v>
      </c>
      <c r="AA433" s="2055"/>
    </row>
    <row r="434" spans="1:110" ht="12.75" customHeight="1"/>
    <row r="435" spans="1:110" ht="12.75" customHeight="1">
      <c r="A435" s="50" t="s">
        <v>499</v>
      </c>
      <c r="B435" s="50"/>
      <c r="C435" s="50"/>
      <c r="D435" s="50" t="s">
        <v>821</v>
      </c>
      <c r="AF435" s="80"/>
    </row>
    <row r="436" spans="1:110" ht="12.75" customHeight="1">
      <c r="D436" s="2076" t="s">
        <v>46</v>
      </c>
      <c r="E436" s="2074"/>
      <c r="F436" s="2074"/>
      <c r="G436" s="2074"/>
      <c r="H436" s="2074"/>
      <c r="I436" s="2074"/>
      <c r="J436" s="2074"/>
      <c r="K436" s="2074"/>
      <c r="L436" s="2074"/>
      <c r="M436" s="2074"/>
      <c r="N436" s="2074"/>
      <c r="O436" s="2074"/>
      <c r="P436" s="2074"/>
      <c r="Q436" s="2074"/>
      <c r="R436" s="2074"/>
      <c r="S436" s="2074"/>
      <c r="T436" s="2074"/>
      <c r="U436" s="2074"/>
      <c r="V436" s="2074"/>
      <c r="W436" s="2074"/>
      <c r="X436" s="2074"/>
      <c r="Y436" s="2074"/>
      <c r="Z436" s="2074"/>
      <c r="AA436" s="2074"/>
      <c r="AB436" s="2074"/>
      <c r="AC436" s="2074"/>
      <c r="AD436" s="2074"/>
      <c r="AE436" s="2074"/>
      <c r="AF436" s="2075"/>
      <c r="AG436" s="2058">
        <v>65</v>
      </c>
      <c r="AH436" s="2058"/>
      <c r="AI436" s="2058"/>
      <c r="AJ436" s="2058"/>
    </row>
    <row r="437" spans="1:110" ht="12.75" customHeight="1">
      <c r="D437" s="2046" t="s">
        <v>1435</v>
      </c>
      <c r="E437" s="2047"/>
      <c r="F437" s="2047"/>
      <c r="G437" s="2047"/>
      <c r="H437" s="2047"/>
      <c r="I437" s="2047"/>
      <c r="J437" s="2047"/>
      <c r="K437" s="2047"/>
      <c r="L437" s="2047"/>
      <c r="M437" s="2047"/>
      <c r="N437" s="2047"/>
      <c r="O437" s="2047"/>
      <c r="P437" s="2047"/>
      <c r="Q437" s="2047"/>
      <c r="R437" s="2047"/>
      <c r="S437" s="2047"/>
      <c r="T437" s="2047"/>
      <c r="U437" s="2047"/>
      <c r="V437" s="2047"/>
      <c r="W437" s="2047"/>
      <c r="X437" s="2047"/>
      <c r="Y437" s="2047"/>
      <c r="Z437" s="2047"/>
      <c r="AA437" s="2047"/>
      <c r="AB437" s="2047"/>
      <c r="AC437" s="2047"/>
      <c r="AD437" s="2047"/>
      <c r="AE437" s="2047"/>
      <c r="AF437" s="2048"/>
      <c r="AG437" s="2083" t="s">
        <v>2605</v>
      </c>
      <c r="AH437" s="2084"/>
      <c r="AI437" s="2084"/>
      <c r="AJ437" s="2084"/>
    </row>
    <row r="438" spans="1:110" ht="12.75" customHeight="1">
      <c r="D438" s="2046" t="s">
        <v>1143</v>
      </c>
      <c r="E438" s="2047"/>
      <c r="F438" s="2047"/>
      <c r="G438" s="2047"/>
      <c r="H438" s="2047"/>
      <c r="I438" s="2047"/>
      <c r="J438" s="2047"/>
      <c r="K438" s="2047"/>
      <c r="L438" s="2047"/>
      <c r="M438" s="2047"/>
      <c r="N438" s="2047"/>
      <c r="O438" s="2047"/>
      <c r="P438" s="2047"/>
      <c r="Q438" s="2047"/>
      <c r="R438" s="2047"/>
      <c r="S438" s="2047"/>
      <c r="T438" s="2047"/>
      <c r="U438" s="2047"/>
      <c r="V438" s="2047"/>
      <c r="W438" s="2047"/>
      <c r="X438" s="2047"/>
      <c r="Y438" s="2047"/>
      <c r="Z438" s="2047"/>
      <c r="AA438" s="2047"/>
      <c r="AB438" s="2047"/>
      <c r="AC438" s="2047"/>
      <c r="AD438" s="2047"/>
      <c r="AE438" s="2047"/>
      <c r="AF438" s="2048"/>
      <c r="AG438" s="2058">
        <v>64</v>
      </c>
      <c r="AH438" s="2058"/>
      <c r="AI438" s="2058"/>
      <c r="AJ438" s="2058"/>
    </row>
    <row r="439" spans="1:110" ht="12.75" customHeight="1">
      <c r="D439" s="2046" t="s">
        <v>1144</v>
      </c>
      <c r="E439" s="2047"/>
      <c r="F439" s="2047"/>
      <c r="G439" s="2047"/>
      <c r="H439" s="2047"/>
      <c r="I439" s="2047"/>
      <c r="J439" s="2047"/>
      <c r="K439" s="2047"/>
      <c r="L439" s="2047"/>
      <c r="M439" s="2047"/>
      <c r="N439" s="2047"/>
      <c r="O439" s="2047"/>
      <c r="P439" s="2047"/>
      <c r="Q439" s="2047"/>
      <c r="R439" s="2047"/>
      <c r="S439" s="2047"/>
      <c r="T439" s="2047"/>
      <c r="U439" s="2047"/>
      <c r="V439" s="2047"/>
      <c r="W439" s="2047"/>
      <c r="X439" s="2047"/>
      <c r="Y439" s="2047"/>
      <c r="Z439" s="2047"/>
      <c r="AA439" s="2047"/>
      <c r="AB439" s="2047"/>
      <c r="AC439" s="2047"/>
      <c r="AD439" s="2047"/>
      <c r="AE439" s="2047"/>
      <c r="AF439" s="2048"/>
      <c r="AG439" s="2058">
        <v>64</v>
      </c>
      <c r="AH439" s="2058"/>
      <c r="AI439" s="2058"/>
      <c r="AJ439" s="2058"/>
    </row>
    <row r="440" spans="1:110" ht="12.75" customHeight="1">
      <c r="D440" s="2046" t="s">
        <v>1146</v>
      </c>
      <c r="E440" s="2047"/>
      <c r="F440" s="2047"/>
      <c r="G440" s="2047"/>
      <c r="H440" s="2047"/>
      <c r="I440" s="2047"/>
      <c r="J440" s="2047"/>
      <c r="K440" s="2047"/>
      <c r="L440" s="2047"/>
      <c r="M440" s="2047"/>
      <c r="N440" s="2047"/>
      <c r="O440" s="2047"/>
      <c r="P440" s="2047"/>
      <c r="Q440" s="2047"/>
      <c r="R440" s="2047"/>
      <c r="S440" s="2047"/>
      <c r="T440" s="2047"/>
      <c r="U440" s="2047"/>
      <c r="V440" s="2047"/>
      <c r="W440" s="2047"/>
      <c r="X440" s="2047"/>
      <c r="Y440" s="2047"/>
      <c r="Z440" s="2047"/>
      <c r="AA440" s="2047"/>
      <c r="AB440" s="2047"/>
      <c r="AC440" s="2047"/>
      <c r="AD440" s="2047"/>
      <c r="AE440" s="2047"/>
      <c r="AF440" s="2048"/>
      <c r="AG440" s="2078">
        <f>IF(ISERROR(AG439/AG438),"",AG439/AG438)</f>
        <v>1</v>
      </c>
      <c r="AH440" s="2078"/>
      <c r="AI440" s="2078"/>
      <c r="AJ440" s="2078"/>
    </row>
    <row r="441" spans="1:110" ht="12.75" customHeight="1">
      <c r="D441" s="2046" t="s">
        <v>1145</v>
      </c>
      <c r="E441" s="2047"/>
      <c r="F441" s="2047"/>
      <c r="G441" s="2047"/>
      <c r="H441" s="2047"/>
      <c r="I441" s="2047"/>
      <c r="J441" s="2047"/>
      <c r="K441" s="2047"/>
      <c r="L441" s="2047"/>
      <c r="M441" s="2047"/>
      <c r="N441" s="2047"/>
      <c r="O441" s="2047"/>
      <c r="P441" s="2047"/>
      <c r="Q441" s="2047"/>
      <c r="R441" s="2047"/>
      <c r="S441" s="2047"/>
      <c r="T441" s="2047"/>
      <c r="U441" s="2047"/>
      <c r="V441" s="2047"/>
      <c r="W441" s="2047"/>
      <c r="X441" s="2047"/>
      <c r="Y441" s="2047"/>
      <c r="Z441" s="2047"/>
      <c r="AA441" s="2047"/>
      <c r="AB441" s="2047"/>
      <c r="AC441" s="2047"/>
      <c r="AD441" s="2047"/>
      <c r="AE441" s="2047"/>
      <c r="AF441" s="2048"/>
      <c r="AG441" s="2077">
        <v>96559</v>
      </c>
      <c r="AH441" s="2077"/>
      <c r="AI441" s="2077"/>
      <c r="AJ441" s="2077"/>
    </row>
    <row r="442" spans="1:110" ht="12.75" customHeight="1">
      <c r="D442" s="2046" t="s">
        <v>1147</v>
      </c>
      <c r="E442" s="2047"/>
      <c r="F442" s="2047"/>
      <c r="G442" s="2047"/>
      <c r="H442" s="2047"/>
      <c r="I442" s="2047"/>
      <c r="J442" s="2047"/>
      <c r="K442" s="2047"/>
      <c r="L442" s="2047"/>
      <c r="M442" s="2047"/>
      <c r="N442" s="2047"/>
      <c r="O442" s="2047"/>
      <c r="P442" s="2047"/>
      <c r="Q442" s="2047"/>
      <c r="R442" s="2047"/>
      <c r="S442" s="2047"/>
      <c r="T442" s="2047"/>
      <c r="U442" s="2047"/>
      <c r="V442" s="2047"/>
      <c r="W442" s="2047"/>
      <c r="X442" s="2047"/>
      <c r="Y442" s="2047"/>
      <c r="Z442" s="2047"/>
      <c r="AA442" s="2047"/>
      <c r="AB442" s="2047"/>
      <c r="AC442" s="2047"/>
      <c r="AD442" s="2047"/>
      <c r="AE442" s="2047"/>
      <c r="AF442" s="2048"/>
      <c r="AG442" s="2077">
        <v>96559</v>
      </c>
      <c r="AH442" s="2077"/>
      <c r="AI442" s="2077"/>
      <c r="AJ442" s="2077"/>
    </row>
    <row r="443" spans="1:110" ht="12.75" customHeight="1">
      <c r="D443" s="2046" t="s">
        <v>1148</v>
      </c>
      <c r="E443" s="2047"/>
      <c r="F443" s="2047"/>
      <c r="G443" s="2047"/>
      <c r="H443" s="2047"/>
      <c r="I443" s="2047"/>
      <c r="J443" s="2047"/>
      <c r="K443" s="2047"/>
      <c r="L443" s="2047"/>
      <c r="M443" s="2047"/>
      <c r="N443" s="2047"/>
      <c r="O443" s="2047"/>
      <c r="P443" s="2047"/>
      <c r="Q443" s="2047"/>
      <c r="R443" s="2047"/>
      <c r="S443" s="2047"/>
      <c r="T443" s="2047"/>
      <c r="U443" s="2047"/>
      <c r="V443" s="2047"/>
      <c r="W443" s="2047"/>
      <c r="X443" s="2047"/>
      <c r="Y443" s="2047"/>
      <c r="Z443" s="2047"/>
      <c r="AA443" s="2047"/>
      <c r="AB443" s="2047"/>
      <c r="AC443" s="2047"/>
      <c r="AD443" s="2047"/>
      <c r="AE443" s="2047"/>
      <c r="AF443" s="2048"/>
      <c r="AG443" s="2078">
        <f>IF(ISERROR(AG442/AG441),"",AG442/AG441)</f>
        <v>1</v>
      </c>
      <c r="AH443" s="2078"/>
      <c r="AI443" s="2078"/>
      <c r="AJ443" s="2078"/>
    </row>
    <row r="444" spans="1:110" ht="12.75" customHeight="1">
      <c r="D444" s="2046" t="s">
        <v>1149</v>
      </c>
      <c r="E444" s="2047"/>
      <c r="F444" s="2047"/>
      <c r="G444" s="2047"/>
      <c r="H444" s="2047"/>
      <c r="I444" s="2047"/>
      <c r="J444" s="2047"/>
      <c r="K444" s="2047"/>
      <c r="L444" s="2047"/>
      <c r="M444" s="2047"/>
      <c r="N444" s="2047"/>
      <c r="O444" s="2047"/>
      <c r="P444" s="2047"/>
      <c r="Q444" s="2047"/>
      <c r="R444" s="2047"/>
      <c r="S444" s="2047"/>
      <c r="T444" s="2047"/>
      <c r="U444" s="2047"/>
      <c r="V444" s="2047"/>
      <c r="W444" s="2047"/>
      <c r="X444" s="2047"/>
      <c r="Y444" s="2047"/>
      <c r="Z444" s="2047"/>
      <c r="AA444" s="2047"/>
      <c r="AB444" s="2047"/>
      <c r="AC444" s="2047"/>
      <c r="AD444" s="2047"/>
      <c r="AE444" s="2047"/>
      <c r="AF444" s="2048"/>
      <c r="AG444" s="2078">
        <f>MIN(IF(AG440&gt;AG443,AG443,AG440),1)</f>
        <v>1</v>
      </c>
      <c r="AH444" s="2078"/>
      <c r="AI444" s="2078"/>
      <c r="AJ444" s="2078"/>
    </row>
    <row r="445" spans="1:110" ht="12.75" customHeight="1">
      <c r="D445" s="2046" t="s">
        <v>1410</v>
      </c>
      <c r="E445" s="2074"/>
      <c r="F445" s="2074"/>
      <c r="G445" s="2074"/>
      <c r="H445" s="2074"/>
      <c r="I445" s="2074"/>
      <c r="J445" s="2074"/>
      <c r="K445" s="2074"/>
      <c r="L445" s="2074"/>
      <c r="M445" s="2074"/>
      <c r="N445" s="2074"/>
      <c r="O445" s="2074"/>
      <c r="P445" s="2074"/>
      <c r="Q445" s="2074"/>
      <c r="R445" s="2074"/>
      <c r="S445" s="2074"/>
      <c r="T445" s="2074"/>
      <c r="U445" s="2074"/>
      <c r="V445" s="2074"/>
      <c r="W445" s="2074"/>
      <c r="X445" s="2074"/>
      <c r="Y445" s="2074"/>
      <c r="Z445" s="2074"/>
      <c r="AA445" s="2074"/>
      <c r="AB445" s="2074"/>
      <c r="AC445" s="2074"/>
      <c r="AD445" s="2074"/>
      <c r="AE445" s="2074"/>
      <c r="AF445" s="2075"/>
      <c r="AG445" s="2077">
        <v>3750</v>
      </c>
      <c r="AH445" s="2077"/>
      <c r="AI445" s="2077"/>
      <c r="AJ445" s="2077"/>
    </row>
    <row r="446" spans="1:110" ht="12.75" customHeight="1">
      <c r="D446" s="2076" t="s">
        <v>601</v>
      </c>
      <c r="E446" s="2074"/>
      <c r="F446" s="2074"/>
      <c r="G446" s="2074"/>
      <c r="H446" s="2074"/>
      <c r="I446" s="2074"/>
      <c r="J446" s="2074"/>
      <c r="K446" s="2074"/>
      <c r="L446" s="2074"/>
      <c r="M446" s="2074"/>
      <c r="N446" s="2074"/>
      <c r="O446" s="2074"/>
      <c r="P446" s="2074"/>
      <c r="Q446" s="2074"/>
      <c r="R446" s="2074"/>
      <c r="S446" s="2074"/>
      <c r="T446" s="2074"/>
      <c r="U446" s="2074"/>
      <c r="V446" s="2074"/>
      <c r="W446" s="2074"/>
      <c r="X446" s="2074"/>
      <c r="Y446" s="2074"/>
      <c r="Z446" s="2074"/>
      <c r="AA446" s="2074"/>
      <c r="AB446" s="2074"/>
      <c r="AC446" s="2074"/>
      <c r="AD446" s="2074"/>
      <c r="AE446" s="2074"/>
      <c r="AF446" s="2075"/>
      <c r="AG446" s="2156" t="s">
        <v>2605</v>
      </c>
      <c r="AH446" s="2077"/>
      <c r="AI446" s="2077"/>
      <c r="AJ446" s="207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6" customHeight="1">
      <c r="D447" s="2046" t="s">
        <v>1411</v>
      </c>
      <c r="E447" s="2074"/>
      <c r="F447" s="2074"/>
      <c r="G447" s="2074"/>
      <c r="H447" s="2074"/>
      <c r="I447" s="2074"/>
      <c r="J447" s="2074"/>
      <c r="K447" s="2074"/>
      <c r="L447" s="2074"/>
      <c r="M447" s="2074"/>
      <c r="N447" s="2074"/>
      <c r="O447" s="2074"/>
      <c r="P447" s="2074"/>
      <c r="Q447" s="2074"/>
      <c r="R447" s="2074"/>
      <c r="S447" s="2074"/>
      <c r="T447" s="2074"/>
      <c r="U447" s="2074"/>
      <c r="V447" s="2074"/>
      <c r="W447" s="2074"/>
      <c r="X447" s="2074"/>
      <c r="Y447" s="2074"/>
      <c r="Z447" s="2074"/>
      <c r="AA447" s="2074"/>
      <c r="AB447" s="2074"/>
      <c r="AC447" s="2074"/>
      <c r="AD447" s="2074"/>
      <c r="AE447" s="2074"/>
      <c r="AF447" s="2075"/>
      <c r="AG447" s="2077">
        <v>1495</v>
      </c>
      <c r="AH447" s="2077"/>
      <c r="AI447" s="2077"/>
      <c r="AJ447" s="207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46" t="s">
        <v>1150</v>
      </c>
      <c r="E448" s="2074"/>
      <c r="F448" s="2074"/>
      <c r="G448" s="2074"/>
      <c r="H448" s="2074"/>
      <c r="I448" s="2074"/>
      <c r="J448" s="2074"/>
      <c r="K448" s="2074"/>
      <c r="L448" s="2074"/>
      <c r="M448" s="2074"/>
      <c r="N448" s="2074"/>
      <c r="O448" s="2074"/>
      <c r="P448" s="2074"/>
      <c r="Q448" s="2074"/>
      <c r="R448" s="2074"/>
      <c r="S448" s="2074"/>
      <c r="T448" s="2074"/>
      <c r="U448" s="2074"/>
      <c r="V448" s="2074"/>
      <c r="W448" s="2074"/>
      <c r="X448" s="2074"/>
      <c r="Y448" s="2074"/>
      <c r="Z448" s="2074"/>
      <c r="AA448" s="2074"/>
      <c r="AB448" s="2074"/>
      <c r="AC448" s="2074"/>
      <c r="AD448" s="2074"/>
      <c r="AE448" s="2074"/>
      <c r="AF448" s="2075"/>
      <c r="AG448" s="2156" t="s">
        <v>2605</v>
      </c>
      <c r="AH448" s="2077"/>
      <c r="AI448" s="2077"/>
      <c r="AJ448" s="207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0" t="s">
        <v>1151</v>
      </c>
      <c r="E449" s="2201"/>
      <c r="F449" s="2201"/>
      <c r="G449" s="2201"/>
      <c r="H449" s="2201"/>
      <c r="I449" s="2201"/>
      <c r="J449" s="2201"/>
      <c r="K449" s="2201"/>
      <c r="L449" s="2201"/>
      <c r="M449" s="2201"/>
      <c r="N449" s="2201"/>
      <c r="O449" s="2201"/>
      <c r="P449" s="2201"/>
      <c r="Q449" s="2201"/>
      <c r="R449" s="2201"/>
      <c r="S449" s="2201"/>
      <c r="T449" s="2201"/>
      <c r="U449" s="2201"/>
      <c r="V449" s="2201"/>
      <c r="W449" s="2201"/>
      <c r="X449" s="2201"/>
      <c r="Y449" s="2201"/>
      <c r="Z449" s="2201"/>
      <c r="AA449" s="2201"/>
      <c r="AB449" s="2201"/>
      <c r="AC449" s="2201"/>
      <c r="AD449" s="2201"/>
      <c r="AE449" s="2201"/>
      <c r="AF449" s="2202"/>
      <c r="AG449" s="2114">
        <f>AG441+AG445+AG447+AG448</f>
        <v>101804</v>
      </c>
      <c r="AH449" s="2114"/>
      <c r="AI449" s="2114"/>
      <c r="AJ449" s="211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3" t="s">
        <v>1412</v>
      </c>
      <c r="E450" s="2203"/>
      <c r="F450" s="2203"/>
      <c r="G450" s="2203"/>
      <c r="H450" s="2203"/>
      <c r="I450" s="2203"/>
      <c r="J450" s="2203"/>
      <c r="K450" s="2203"/>
      <c r="L450" s="2203"/>
      <c r="M450" s="2203"/>
      <c r="N450" s="2203"/>
      <c r="O450" s="2203"/>
      <c r="P450" s="2203"/>
      <c r="Q450" s="2203"/>
      <c r="R450" s="2203"/>
      <c r="S450" s="2203"/>
      <c r="T450" s="2203"/>
      <c r="U450" s="2203"/>
      <c r="V450" s="2203"/>
      <c r="W450" s="2203"/>
      <c r="X450" s="2203"/>
      <c r="Y450" s="2203"/>
      <c r="Z450" s="2203"/>
      <c r="AA450" s="2203"/>
      <c r="AB450" s="2203"/>
      <c r="AC450" s="2203"/>
      <c r="AD450" s="2203"/>
      <c r="AE450" s="2203"/>
      <c r="AF450" s="2203"/>
      <c r="AG450" s="2203"/>
      <c r="AH450" s="2203"/>
      <c r="AI450" s="2203"/>
      <c r="AJ450" s="220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4"/>
      <c r="E451" s="2204"/>
      <c r="F451" s="2204"/>
      <c r="G451" s="2204"/>
      <c r="H451" s="2204"/>
      <c r="I451" s="2204"/>
      <c r="J451" s="2204"/>
      <c r="K451" s="2204"/>
      <c r="L451" s="2204"/>
      <c r="M451" s="2204"/>
      <c r="N451" s="2204"/>
      <c r="O451" s="2204"/>
      <c r="P451" s="2204"/>
      <c r="Q451" s="2204"/>
      <c r="R451" s="2204"/>
      <c r="S451" s="2204"/>
      <c r="T451" s="2204"/>
      <c r="U451" s="2204"/>
      <c r="V451" s="2204"/>
      <c r="W451" s="2204"/>
      <c r="X451" s="2204"/>
      <c r="Y451" s="2204"/>
      <c r="Z451" s="2204"/>
      <c r="AA451" s="2204"/>
      <c r="AB451" s="2204"/>
      <c r="AC451" s="2204"/>
      <c r="AD451" s="2204"/>
      <c r="AE451" s="2204"/>
      <c r="AF451" s="2204"/>
      <c r="AG451" s="2204"/>
      <c r="AH451" s="2204"/>
      <c r="AI451" s="2204"/>
      <c r="AJ451" s="220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3" t="s">
        <v>874</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115">
        <f>'Sources and Uses Budget'!B105/Application!AG436</f>
        <v>598296.10769230768</v>
      </c>
      <c r="AD453" s="2115"/>
      <c r="AE453" s="2115"/>
      <c r="AF453" s="2115"/>
      <c r="AG453" s="283"/>
      <c r="AH453" s="283"/>
      <c r="AI453" s="283"/>
      <c r="AJ453" s="289"/>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3" t="s">
        <v>875</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115">
        <f>'Sources and Uses Budget'!C105/Application!AG436</f>
        <v>598296.10769230768</v>
      </c>
      <c r="AD454" s="2115"/>
      <c r="AE454" s="2115"/>
      <c r="AF454" s="2115"/>
      <c r="AG454" s="283"/>
      <c r="AH454" s="283"/>
      <c r="AI454" s="283"/>
      <c r="AJ454" s="289"/>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3" t="s">
        <v>925</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115">
        <f>('Sources and Uses Budget'!$S$107+'Sources and Uses Budget'!$T$107)/Application!AG436</f>
        <v>507015.44615384616</v>
      </c>
      <c r="AD455" s="2115"/>
      <c r="AE455" s="2115"/>
      <c r="AF455" s="2115"/>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86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8"/>
      <c r="C458" s="718"/>
      <c r="D458" s="50" t="s">
        <v>253</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0" t="s">
        <v>2409</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0" t="s">
        <v>2410</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0" t="s">
        <v>2411</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1" t="s">
        <v>729</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13" t="s">
        <v>730</v>
      </c>
      <c r="E464" s="2111"/>
      <c r="F464" s="2111"/>
      <c r="G464" s="2111"/>
      <c r="H464" s="2111"/>
      <c r="I464" s="2111"/>
      <c r="J464" s="2111"/>
      <c r="K464" s="2111"/>
      <c r="L464" s="2111"/>
      <c r="M464" s="2111"/>
      <c r="N464" s="2111"/>
      <c r="O464" s="2111"/>
      <c r="P464" s="2111"/>
      <c r="Q464" s="2111"/>
      <c r="R464" s="2111"/>
      <c r="S464" s="2111"/>
      <c r="T464" s="2111"/>
      <c r="U464" s="2111"/>
      <c r="V464" s="2112"/>
      <c r="W464" s="2107">
        <v>0</v>
      </c>
      <c r="X464" s="2108"/>
      <c r="Y464" s="2109"/>
      <c r="Z464" s="290"/>
      <c r="AA464" s="290"/>
      <c r="AB464" s="290"/>
      <c r="AC464" s="290"/>
      <c r="AD464" s="283"/>
      <c r="AE464" s="283"/>
      <c r="AF464" s="283"/>
      <c r="AG464" s="283"/>
      <c r="AH464" s="283"/>
      <c r="AI464" s="283"/>
      <c r="AJ464" s="289"/>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13" t="s">
        <v>731</v>
      </c>
      <c r="E465" s="2111"/>
      <c r="F465" s="2111"/>
      <c r="G465" s="2111"/>
      <c r="H465" s="2111"/>
      <c r="I465" s="2111"/>
      <c r="J465" s="2111"/>
      <c r="K465" s="2111"/>
      <c r="L465" s="2111"/>
      <c r="M465" s="2111"/>
      <c r="N465" s="2111"/>
      <c r="O465" s="2111"/>
      <c r="P465" s="2111"/>
      <c r="Q465" s="2111"/>
      <c r="R465" s="2111"/>
      <c r="S465" s="2111"/>
      <c r="T465" s="2111"/>
      <c r="U465" s="2111"/>
      <c r="V465" s="2112"/>
      <c r="W465" s="2107">
        <v>0</v>
      </c>
      <c r="X465" s="2108"/>
      <c r="Y465" s="2109"/>
      <c r="Z465" s="290"/>
      <c r="AA465" s="290"/>
      <c r="AB465" s="290"/>
      <c r="AC465" s="290"/>
      <c r="AD465" s="283"/>
      <c r="AE465" s="283"/>
      <c r="AF465" s="283"/>
      <c r="AG465" s="283"/>
      <c r="AH465" s="283"/>
      <c r="AI465" s="283"/>
      <c r="AJ465" s="289"/>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13" t="s">
        <v>732</v>
      </c>
      <c r="E466" s="2111"/>
      <c r="F466" s="2111"/>
      <c r="G466" s="2111"/>
      <c r="H466" s="2111"/>
      <c r="I466" s="2111"/>
      <c r="J466" s="2111"/>
      <c r="K466" s="2111"/>
      <c r="L466" s="2111"/>
      <c r="M466" s="2111"/>
      <c r="N466" s="2111"/>
      <c r="O466" s="2111"/>
      <c r="P466" s="2111"/>
      <c r="Q466" s="2111"/>
      <c r="R466" s="2111"/>
      <c r="S466" s="2111"/>
      <c r="T466" s="2111"/>
      <c r="U466" s="2111"/>
      <c r="V466" s="2112"/>
      <c r="W466" s="2107">
        <v>0</v>
      </c>
      <c r="X466" s="2108"/>
      <c r="Y466" s="2109"/>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13" t="s">
        <v>733</v>
      </c>
      <c r="E467" s="2111"/>
      <c r="F467" s="2111"/>
      <c r="G467" s="2111"/>
      <c r="H467" s="2111"/>
      <c r="I467" s="2111"/>
      <c r="J467" s="2111"/>
      <c r="K467" s="2111"/>
      <c r="L467" s="2111"/>
      <c r="M467" s="2111"/>
      <c r="N467" s="2111"/>
      <c r="O467" s="2111"/>
      <c r="P467" s="2111"/>
      <c r="Q467" s="2111"/>
      <c r="R467" s="2111"/>
      <c r="S467" s="2111"/>
      <c r="T467" s="2111"/>
      <c r="U467" s="2111"/>
      <c r="V467" s="2112"/>
      <c r="W467" s="2107">
        <v>0</v>
      </c>
      <c r="X467" s="2108"/>
      <c r="Y467" s="2109"/>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13" t="s">
        <v>945</v>
      </c>
      <c r="E468" s="2111"/>
      <c r="F468" s="2111"/>
      <c r="G468" s="2111"/>
      <c r="H468" s="2111"/>
      <c r="I468" s="2111"/>
      <c r="J468" s="2111"/>
      <c r="K468" s="2111"/>
      <c r="L468" s="2111"/>
      <c r="M468" s="2111"/>
      <c r="N468" s="2111"/>
      <c r="O468" s="2111"/>
      <c r="P468" s="2111"/>
      <c r="Q468" s="2111"/>
      <c r="R468" s="2111"/>
      <c r="S468" s="2111"/>
      <c r="T468" s="2111"/>
      <c r="U468" s="2111"/>
      <c r="V468" s="2112"/>
      <c r="W468" s="2107">
        <v>0</v>
      </c>
      <c r="X468" s="2108"/>
      <c r="Y468" s="2109"/>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13" t="s">
        <v>734</v>
      </c>
      <c r="E469" s="2111"/>
      <c r="F469" s="2111"/>
      <c r="G469" s="2111"/>
      <c r="H469" s="2111"/>
      <c r="I469" s="2111"/>
      <c r="J469" s="2111"/>
      <c r="K469" s="2111"/>
      <c r="L469" s="2111"/>
      <c r="M469" s="2111"/>
      <c r="N469" s="2111"/>
      <c r="O469" s="2111"/>
      <c r="P469" s="2111"/>
      <c r="Q469" s="2111"/>
      <c r="R469" s="2111"/>
      <c r="S469" s="2111"/>
      <c r="T469" s="2111"/>
      <c r="U469" s="2111"/>
      <c r="V469" s="2112"/>
      <c r="W469" s="2107">
        <v>0</v>
      </c>
      <c r="X469" s="2108"/>
      <c r="Y469" s="2109"/>
      <c r="Z469" s="290"/>
      <c r="AA469" s="290"/>
      <c r="AB469" s="290"/>
      <c r="AC469" s="290"/>
      <c r="AD469" s="283"/>
      <c r="AE469" s="283"/>
      <c r="AF469" s="283"/>
      <c r="AG469" s="283"/>
      <c r="AH469" s="283"/>
      <c r="AI469" s="283"/>
      <c r="AJ469" s="289"/>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13" t="s">
        <v>1117</v>
      </c>
      <c r="E470" s="2111"/>
      <c r="F470" s="2111"/>
      <c r="G470" s="2111"/>
      <c r="H470" s="2111"/>
      <c r="I470" s="2111"/>
      <c r="J470" s="2111"/>
      <c r="K470" s="2111"/>
      <c r="L470" s="2111"/>
      <c r="M470" s="2111"/>
      <c r="N470" s="2111"/>
      <c r="O470" s="2111"/>
      <c r="P470" s="2111"/>
      <c r="Q470" s="2111"/>
      <c r="R470" s="2111"/>
      <c r="S470" s="2111"/>
      <c r="T470" s="2111"/>
      <c r="U470" s="2111"/>
      <c r="V470" s="2112"/>
      <c r="W470" s="2107">
        <v>0</v>
      </c>
      <c r="X470" s="2108"/>
      <c r="Y470" s="2109"/>
      <c r="Z470" s="290"/>
      <c r="AA470" s="290"/>
      <c r="AB470" s="290"/>
      <c r="AC470" s="290"/>
      <c r="AD470" s="283"/>
      <c r="AE470" s="283"/>
      <c r="AF470" s="283"/>
      <c r="AG470" s="283"/>
      <c r="AH470" s="283"/>
      <c r="AI470" s="283"/>
      <c r="AJ470" s="289"/>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10" t="s">
        <v>2005</v>
      </c>
      <c r="E471" s="2111"/>
      <c r="F471" s="2111"/>
      <c r="G471" s="2111"/>
      <c r="H471" s="2111"/>
      <c r="I471" s="2111"/>
      <c r="J471" s="2111"/>
      <c r="K471" s="2111"/>
      <c r="L471" s="2111"/>
      <c r="M471" s="2111"/>
      <c r="N471" s="2111"/>
      <c r="O471" s="2111"/>
      <c r="P471" s="2111"/>
      <c r="Q471" s="2111"/>
      <c r="R471" s="2111"/>
      <c r="S471" s="2111"/>
      <c r="T471" s="2111"/>
      <c r="U471" s="2111"/>
      <c r="V471" s="2112"/>
      <c r="W471" s="2107">
        <v>0</v>
      </c>
      <c r="X471" s="2108"/>
      <c r="Y471" s="2109"/>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1" t="s">
        <v>174</v>
      </c>
      <c r="E472" s="392"/>
      <c r="F472" s="393"/>
      <c r="G472" s="2104"/>
      <c r="H472" s="2105"/>
      <c r="I472" s="2105"/>
      <c r="J472" s="2105"/>
      <c r="K472" s="2105"/>
      <c r="L472" s="2105"/>
      <c r="M472" s="2105"/>
      <c r="N472" s="2105"/>
      <c r="O472" s="2105"/>
      <c r="P472" s="2105"/>
      <c r="Q472" s="2105"/>
      <c r="R472" s="2105"/>
      <c r="S472" s="2105"/>
      <c r="T472" s="2105"/>
      <c r="U472" s="2105"/>
      <c r="V472" s="2106"/>
      <c r="W472" s="2107">
        <v>0</v>
      </c>
      <c r="X472" s="2108"/>
      <c r="Y472" s="2109"/>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4" t="s">
        <v>946</v>
      </c>
      <c r="E473" s="395"/>
      <c r="F473" s="395"/>
      <c r="G473" s="1489"/>
      <c r="H473" s="1489"/>
      <c r="I473" s="1489"/>
      <c r="J473" s="1489"/>
      <c r="K473" s="1489"/>
      <c r="L473" s="1489"/>
      <c r="M473" s="1489"/>
      <c r="N473" s="1489"/>
      <c r="O473" s="1489"/>
      <c r="P473" s="1489"/>
      <c r="Q473" s="1489"/>
      <c r="R473" s="1489"/>
      <c r="S473" s="1489"/>
      <c r="T473" s="1489"/>
      <c r="U473" s="1489"/>
      <c r="V473" s="1489"/>
      <c r="W473" s="396"/>
      <c r="X473" s="396"/>
      <c r="Y473" s="397"/>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8"/>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0"/>
      <c r="AA475" s="290"/>
      <c r="AB475" s="290"/>
      <c r="AC475" s="290"/>
      <c r="AD475" s="283"/>
      <c r="AE475" s="283"/>
      <c r="AF475" s="283"/>
      <c r="AG475" s="283"/>
      <c r="AH475" s="283"/>
      <c r="AI475" s="283"/>
      <c r="AJ475" s="289"/>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0"/>
      <c r="AA476" s="290"/>
      <c r="AB476" s="290"/>
      <c r="AC476" s="290"/>
      <c r="AD476" s="283"/>
      <c r="AE476" s="283"/>
      <c r="AF476" s="283"/>
      <c r="AG476" s="283"/>
      <c r="AH476" s="283"/>
      <c r="AI476" s="283"/>
      <c r="AJ476" s="289"/>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6" t="s">
        <v>868</v>
      </c>
      <c r="B478" s="2086"/>
      <c r="C478" s="2086"/>
      <c r="D478" s="2086"/>
      <c r="E478" s="2086"/>
      <c r="F478" s="2086"/>
      <c r="G478" s="2086"/>
      <c r="H478" s="2086"/>
      <c r="I478" s="2086"/>
      <c r="J478" s="2086"/>
      <c r="K478" s="2086"/>
      <c r="L478" s="2086"/>
      <c r="M478" s="2086"/>
      <c r="N478" s="2086"/>
      <c r="O478" s="2086"/>
      <c r="P478" s="2086"/>
      <c r="Q478" s="2086"/>
      <c r="R478" s="2086"/>
      <c r="S478" s="2086"/>
      <c r="T478" s="2086"/>
      <c r="U478" s="2086"/>
      <c r="V478" s="2086"/>
      <c r="W478" s="2086"/>
      <c r="X478" s="2086"/>
      <c r="Y478" s="2086"/>
      <c r="Z478" s="2086"/>
      <c r="AA478" s="2086"/>
      <c r="AB478" s="2086"/>
      <c r="AC478" s="2086"/>
      <c r="AD478" s="2086"/>
      <c r="AE478" s="2086"/>
      <c r="AF478" s="2086"/>
      <c r="AG478" s="2086"/>
      <c r="AH478" s="2086"/>
      <c r="AI478" s="2086"/>
      <c r="AJ478" s="2086"/>
      <c r="AK478" s="2086"/>
      <c r="AL478" s="208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7"/>
      <c r="B479" s="2087"/>
      <c r="C479" s="2087"/>
      <c r="D479" s="2087"/>
      <c r="E479" s="2087"/>
      <c r="F479" s="2087"/>
      <c r="G479" s="2087"/>
      <c r="H479" s="2087"/>
      <c r="I479" s="2087"/>
      <c r="J479" s="2087"/>
      <c r="K479" s="2087"/>
      <c r="L479" s="2087"/>
      <c r="M479" s="2087"/>
      <c r="N479" s="2087"/>
      <c r="O479" s="2087"/>
      <c r="P479" s="2087"/>
      <c r="Q479" s="2087"/>
      <c r="R479" s="2087"/>
      <c r="S479" s="2087"/>
      <c r="T479" s="2087"/>
      <c r="U479" s="2087"/>
      <c r="V479" s="2087"/>
      <c r="W479" s="2087"/>
      <c r="X479" s="2087"/>
      <c r="Y479" s="2087"/>
      <c r="Z479" s="2087"/>
      <c r="AA479" s="2087"/>
      <c r="AB479" s="2087"/>
      <c r="AC479" s="2087"/>
      <c r="AD479" s="2087"/>
      <c r="AE479" s="2087"/>
      <c r="AF479" s="2087"/>
      <c r="AG479" s="2087"/>
      <c r="AH479" s="2087"/>
      <c r="AI479" s="2087"/>
      <c r="AJ479" s="2087"/>
      <c r="AK479" s="2087"/>
      <c r="AL479" s="208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120" t="s">
        <v>869</v>
      </c>
      <c r="U483" s="2121"/>
      <c r="V483" s="2121"/>
      <c r="W483" s="2121"/>
      <c r="X483" s="2121"/>
      <c r="Y483" s="2121"/>
      <c r="Z483" s="2121"/>
      <c r="AA483" s="2121"/>
      <c r="AB483" s="2121"/>
      <c r="AC483" s="2121"/>
      <c r="AD483" s="2121"/>
      <c r="AE483" s="2121"/>
      <c r="AF483" s="2121"/>
      <c r="AG483" s="2121"/>
      <c r="AH483" s="212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250" t="s">
        <v>36</v>
      </c>
      <c r="U484" s="2250"/>
      <c r="V484" s="2250"/>
      <c r="W484" s="2250"/>
      <c r="X484" s="2250"/>
      <c r="Y484" s="2250" t="s">
        <v>37</v>
      </c>
      <c r="Z484" s="2250"/>
      <c r="AA484" s="2250"/>
      <c r="AB484" s="2250"/>
      <c r="AC484" s="2250"/>
      <c r="AD484" s="2250" t="s">
        <v>347</v>
      </c>
      <c r="AE484" s="2250"/>
      <c r="AF484" s="2250"/>
      <c r="AG484" s="2250"/>
      <c r="AH484" s="225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250"/>
      <c r="U485" s="2250"/>
      <c r="V485" s="2250"/>
      <c r="W485" s="2250"/>
      <c r="X485" s="2250"/>
      <c r="Y485" s="2250"/>
      <c r="Z485" s="2250"/>
      <c r="AA485" s="2250"/>
      <c r="AB485" s="2250"/>
      <c r="AC485" s="2250"/>
      <c r="AD485" s="2250"/>
      <c r="AE485" s="2250"/>
      <c r="AF485" s="2250"/>
      <c r="AG485" s="2250"/>
      <c r="AH485" s="225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049" t="s">
        <v>625</v>
      </c>
      <c r="U486" s="2026"/>
      <c r="V486" s="2026"/>
      <c r="W486" s="2026"/>
      <c r="X486" s="2026"/>
      <c r="Y486" s="2026">
        <v>0</v>
      </c>
      <c r="Z486" s="2026"/>
      <c r="AA486" s="2026"/>
      <c r="AB486" s="2026"/>
      <c r="AC486" s="2026"/>
      <c r="AD486" s="2026">
        <v>0</v>
      </c>
      <c r="AE486" s="2026"/>
      <c r="AF486" s="2026"/>
      <c r="AG486" s="2026"/>
      <c r="AH486" s="2026"/>
      <c r="AI486" s="12"/>
      <c r="AJ486" s="12"/>
      <c r="AK486" s="12"/>
      <c r="AL486" s="12"/>
      <c r="AZ486" s="238"/>
      <c r="BA486" s="238"/>
      <c r="BB486" s="238"/>
      <c r="BC486" s="238"/>
      <c r="BD486" s="238"/>
      <c r="BE486" s="238"/>
      <c r="BF486" s="238"/>
      <c r="BG486" s="238"/>
      <c r="BH486" s="238"/>
      <c r="BI486" s="238"/>
      <c r="BJ486" s="238"/>
      <c r="BK486" s="238"/>
      <c r="BL486" s="238"/>
      <c r="BM486" s="238"/>
      <c r="BN486" s="238"/>
      <c r="BO486" s="238"/>
      <c r="BP486" s="238"/>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9"/>
      <c r="CS486" s="238"/>
      <c r="CT486" s="238"/>
      <c r="CU486" s="238"/>
      <c r="CV486" s="238"/>
      <c r="CW486" s="238"/>
      <c r="CX486" s="238"/>
      <c r="CY486" s="238"/>
      <c r="CZ486" s="238"/>
      <c r="DA486" s="238"/>
      <c r="DB486" s="238"/>
      <c r="DC486" s="238"/>
      <c r="DD486" s="238"/>
      <c r="DE486" s="238"/>
      <c r="DF486" s="238"/>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026">
        <v>0</v>
      </c>
      <c r="U487" s="2026"/>
      <c r="V487" s="2026"/>
      <c r="W487" s="2026"/>
      <c r="X487" s="2026"/>
      <c r="Y487" s="2026">
        <v>0</v>
      </c>
      <c r="Z487" s="2026"/>
      <c r="AA487" s="2026"/>
      <c r="AB487" s="2026"/>
      <c r="AC487" s="2026"/>
      <c r="AD487" s="2026">
        <v>43864</v>
      </c>
      <c r="AE487" s="2026"/>
      <c r="AF487" s="2026"/>
      <c r="AG487" s="2026"/>
      <c r="AH487" s="2026"/>
      <c r="AI487" s="12"/>
      <c r="AJ487" s="12"/>
      <c r="AK487" s="12"/>
      <c r="AL487" s="12"/>
      <c r="AZ487" s="238"/>
      <c r="BA487" s="238"/>
      <c r="BB487" s="238"/>
      <c r="BC487" s="238"/>
      <c r="BD487" s="238"/>
      <c r="BE487" s="238"/>
      <c r="BF487" s="238"/>
      <c r="BG487" s="238"/>
      <c r="BH487" s="238"/>
      <c r="BI487" s="238"/>
      <c r="BJ487" s="238"/>
      <c r="BK487" s="238"/>
      <c r="BL487" s="238"/>
      <c r="BM487" s="238"/>
      <c r="BN487" s="238"/>
      <c r="BO487" s="238"/>
      <c r="BP487" s="238"/>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9"/>
      <c r="CS487" s="238"/>
      <c r="CT487" s="238"/>
      <c r="CU487" s="238"/>
      <c r="CV487" s="238"/>
      <c r="CW487" s="238"/>
      <c r="CX487" s="238"/>
      <c r="CY487" s="238"/>
      <c r="CZ487" s="238"/>
      <c r="DA487" s="238"/>
      <c r="DB487" s="238"/>
      <c r="DC487" s="238"/>
      <c r="DD487" s="238"/>
      <c r="DE487" s="238"/>
      <c r="DF487" s="238"/>
    </row>
    <row r="488" spans="1:110" ht="12.75">
      <c r="E488" s="76" t="s">
        <v>383</v>
      </c>
      <c r="F488" s="77"/>
      <c r="G488" s="77"/>
      <c r="H488" s="77"/>
      <c r="I488" s="77"/>
      <c r="J488" s="77"/>
      <c r="K488" s="77"/>
      <c r="L488" s="77"/>
      <c r="M488" s="77"/>
      <c r="N488" s="77"/>
      <c r="O488" s="77"/>
      <c r="P488" s="77"/>
      <c r="Q488" s="77"/>
      <c r="R488" s="77"/>
      <c r="S488" s="77"/>
      <c r="T488" s="2049" t="s">
        <v>625</v>
      </c>
      <c r="U488" s="2026"/>
      <c r="V488" s="2026"/>
      <c r="W488" s="2026"/>
      <c r="X488" s="2026"/>
      <c r="Y488" s="2026">
        <v>0</v>
      </c>
      <c r="Z488" s="2026"/>
      <c r="AA488" s="2026"/>
      <c r="AB488" s="2026"/>
      <c r="AC488" s="2026"/>
      <c r="AD488" s="2026">
        <v>0</v>
      </c>
      <c r="AE488" s="2026"/>
      <c r="AF488" s="2026"/>
      <c r="AG488" s="2026"/>
      <c r="AH488" s="202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049" t="s">
        <v>625</v>
      </c>
      <c r="U489" s="2026"/>
      <c r="V489" s="2026"/>
      <c r="W489" s="2026"/>
      <c r="X489" s="2026"/>
      <c r="Y489" s="2026">
        <v>0</v>
      </c>
      <c r="Z489" s="2026"/>
      <c r="AA489" s="2026"/>
      <c r="AB489" s="2026"/>
      <c r="AC489" s="2026"/>
      <c r="AD489" s="2026">
        <v>0</v>
      </c>
      <c r="AE489" s="2026"/>
      <c r="AF489" s="2026"/>
      <c r="AG489" s="2026"/>
      <c r="AH489" s="202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049" t="s">
        <v>625</v>
      </c>
      <c r="U490" s="2026"/>
      <c r="V490" s="2026"/>
      <c r="W490" s="2026"/>
      <c r="X490" s="2026"/>
      <c r="Y490" s="2026">
        <v>0</v>
      </c>
      <c r="Z490" s="2026"/>
      <c r="AA490" s="2026"/>
      <c r="AB490" s="2026"/>
      <c r="AC490" s="2026"/>
      <c r="AD490" s="2026">
        <v>0</v>
      </c>
      <c r="AE490" s="2026"/>
      <c r="AF490" s="2026"/>
      <c r="AG490" s="2026"/>
      <c r="AH490" s="202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049" t="s">
        <v>625</v>
      </c>
      <c r="U491" s="2026"/>
      <c r="V491" s="2026"/>
      <c r="W491" s="2026"/>
      <c r="X491" s="2026"/>
      <c r="Y491" s="2026">
        <v>0</v>
      </c>
      <c r="Z491" s="2026"/>
      <c r="AA491" s="2026"/>
      <c r="AB491" s="2026"/>
      <c r="AC491" s="2026"/>
      <c r="AD491" s="2026">
        <v>0</v>
      </c>
      <c r="AE491" s="2026"/>
      <c r="AF491" s="2026"/>
      <c r="AG491" s="2026"/>
      <c r="AH491" s="202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049" t="s">
        <v>625</v>
      </c>
      <c r="U492" s="2026"/>
      <c r="V492" s="2026"/>
      <c r="W492" s="2026"/>
      <c r="X492" s="2026"/>
      <c r="Y492" s="2026">
        <v>0</v>
      </c>
      <c r="Z492" s="2026"/>
      <c r="AA492" s="2026"/>
      <c r="AB492" s="2026"/>
      <c r="AC492" s="2026"/>
      <c r="AD492" s="2026">
        <v>0</v>
      </c>
      <c r="AE492" s="2026"/>
      <c r="AF492" s="2026"/>
      <c r="AG492" s="2026"/>
      <c r="AH492" s="202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049" t="s">
        <v>625</v>
      </c>
      <c r="U493" s="2026"/>
      <c r="V493" s="2026"/>
      <c r="W493" s="2026"/>
      <c r="X493" s="2026"/>
      <c r="Y493" s="2026">
        <v>0</v>
      </c>
      <c r="Z493" s="2026"/>
      <c r="AA493" s="2026"/>
      <c r="AB493" s="2026"/>
      <c r="AC493" s="2026"/>
      <c r="AD493" s="2026">
        <v>0</v>
      </c>
      <c r="AE493" s="2026"/>
      <c r="AF493" s="2026"/>
      <c r="AG493" s="2026"/>
      <c r="AH493" s="202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049" t="s">
        <v>625</v>
      </c>
      <c r="U494" s="2026"/>
      <c r="V494" s="2026"/>
      <c r="W494" s="2026"/>
      <c r="X494" s="2026"/>
      <c r="Y494" s="2026">
        <v>0</v>
      </c>
      <c r="Z494" s="2026"/>
      <c r="AA494" s="2026"/>
      <c r="AB494" s="2026"/>
      <c r="AC494" s="2026"/>
      <c r="AD494" s="2026">
        <v>0</v>
      </c>
      <c r="AE494" s="2026"/>
      <c r="AF494" s="2026"/>
      <c r="AG494" s="2026"/>
      <c r="AH494" s="202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049"/>
      <c r="U495" s="2026"/>
      <c r="V495" s="2026"/>
      <c r="W495" s="2026"/>
      <c r="X495" s="2026"/>
      <c r="Y495" s="2026">
        <v>0</v>
      </c>
      <c r="Z495" s="2026"/>
      <c r="AA495" s="2026"/>
      <c r="AB495" s="2026"/>
      <c r="AC495" s="2026"/>
      <c r="AD495" s="2026">
        <v>43410</v>
      </c>
      <c r="AE495" s="2026"/>
      <c r="AF495" s="2026"/>
      <c r="AG495" s="2026"/>
      <c r="AH495" s="202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9" t="s">
        <v>413</v>
      </c>
      <c r="R497" s="2160"/>
      <c r="S497" s="2160"/>
      <c r="T497" s="2160"/>
      <c r="U497" s="2160"/>
      <c r="V497" s="2160"/>
      <c r="W497" s="2160"/>
      <c r="X497" s="2160"/>
      <c r="Y497" s="2160"/>
      <c r="Z497" s="2160"/>
      <c r="AA497" s="2160"/>
      <c r="AB497" s="2160"/>
      <c r="AC497" s="2160"/>
      <c r="AD497" s="2160"/>
      <c r="AE497" s="2160"/>
      <c r="AF497" s="2160"/>
      <c r="AG497" s="2160"/>
      <c r="AH497" s="2160"/>
      <c r="AI497" s="2160"/>
      <c r="AJ497" s="2160"/>
      <c r="AK497" s="216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26" t="s">
        <v>2585</v>
      </c>
      <c r="R498" s="2032"/>
      <c r="S498" s="2032"/>
      <c r="T498" s="2032"/>
      <c r="U498" s="2032"/>
      <c r="V498" s="2032"/>
      <c r="W498" s="2032"/>
      <c r="X498" s="2032"/>
      <c r="Y498" s="2032"/>
      <c r="Z498" s="2032"/>
      <c r="AA498" s="2032"/>
      <c r="AB498" s="2032"/>
      <c r="AC498" s="2032"/>
      <c r="AD498" s="2032"/>
      <c r="AE498" s="2032"/>
      <c r="AF498" s="2032"/>
      <c r="AG498" s="2032"/>
      <c r="AH498" s="2032"/>
      <c r="AI498" s="2032"/>
      <c r="AJ498" s="2032"/>
      <c r="AK498" s="212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26" t="s">
        <v>2586</v>
      </c>
      <c r="R499" s="2032"/>
      <c r="S499" s="2032"/>
      <c r="T499" s="2032"/>
      <c r="U499" s="2032"/>
      <c r="V499" s="2032"/>
      <c r="W499" s="2032"/>
      <c r="X499" s="2032"/>
      <c r="Y499" s="2032"/>
      <c r="Z499" s="2032"/>
      <c r="AA499" s="2032"/>
      <c r="AB499" s="2032"/>
      <c r="AC499" s="2032"/>
      <c r="AD499" s="2032"/>
      <c r="AE499" s="2032"/>
      <c r="AF499" s="2032"/>
      <c r="AG499" s="2032"/>
      <c r="AH499" s="2032"/>
      <c r="AI499" s="2032"/>
      <c r="AJ499" s="2032"/>
      <c r="AK499" s="2127"/>
      <c r="AZ499" s="58"/>
      <c r="BA499" s="58">
        <f>N609</f>
        <v>0</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26" t="s">
        <v>2634</v>
      </c>
      <c r="R500" s="2032"/>
      <c r="S500" s="2032"/>
      <c r="T500" s="2032"/>
      <c r="U500" s="2032"/>
      <c r="V500" s="2032"/>
      <c r="W500" s="2032"/>
      <c r="X500" s="2032"/>
      <c r="Y500" s="2032"/>
      <c r="Z500" s="2032"/>
      <c r="AA500" s="2032"/>
      <c r="AB500" s="2032"/>
      <c r="AC500" s="2032"/>
      <c r="AD500" s="2032"/>
      <c r="AE500" s="2032"/>
      <c r="AF500" s="2032"/>
      <c r="AG500" s="2032"/>
      <c r="AH500" s="2032"/>
      <c r="AI500" s="2032"/>
      <c r="AJ500" s="2032"/>
      <c r="AK500" s="2127"/>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51" t="s">
        <v>417</v>
      </c>
      <c r="C501" s="2252"/>
      <c r="D501" s="2252"/>
      <c r="E501" s="2252"/>
      <c r="F501" s="2252"/>
      <c r="G501" s="2252"/>
      <c r="H501" s="2252"/>
      <c r="I501" s="2252"/>
      <c r="J501" s="2252"/>
      <c r="K501" s="2252"/>
      <c r="L501" s="2252"/>
      <c r="M501" s="2252"/>
      <c r="N501" s="2252"/>
      <c r="O501" s="2252"/>
      <c r="P501" s="2253"/>
      <c r="Q501" s="2173" t="s">
        <v>577</v>
      </c>
      <c r="R501" s="2174"/>
      <c r="S501" s="2388" t="s">
        <v>2587</v>
      </c>
      <c r="T501" s="2389"/>
      <c r="U501" s="2389"/>
      <c r="V501" s="2389"/>
      <c r="W501" s="2389"/>
      <c r="X501" s="2389"/>
      <c r="Y501" s="2389"/>
      <c r="Z501" s="2389"/>
      <c r="AA501" s="2389"/>
      <c r="AB501" s="2389"/>
      <c r="AC501" s="2389"/>
      <c r="AD501" s="2389"/>
      <c r="AE501" s="2389"/>
      <c r="AF501" s="2389"/>
      <c r="AG501" s="2389"/>
      <c r="AH501" s="2389"/>
      <c r="AI501" s="2389"/>
      <c r="AJ501" s="2389"/>
      <c r="AK501" s="239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54"/>
      <c r="C502" s="2255"/>
      <c r="D502" s="2255"/>
      <c r="E502" s="2255"/>
      <c r="F502" s="2255"/>
      <c r="G502" s="2255"/>
      <c r="H502" s="2255"/>
      <c r="I502" s="2255"/>
      <c r="J502" s="2255"/>
      <c r="K502" s="2255"/>
      <c r="L502" s="2255"/>
      <c r="M502" s="2255"/>
      <c r="N502" s="2255"/>
      <c r="O502" s="2255"/>
      <c r="P502" s="2256"/>
      <c r="Q502" s="2175"/>
      <c r="R502" s="2176"/>
      <c r="S502" s="2391"/>
      <c r="T502" s="2392"/>
      <c r="U502" s="2392"/>
      <c r="V502" s="2392"/>
      <c r="W502" s="2392"/>
      <c r="X502" s="2392"/>
      <c r="Y502" s="2392"/>
      <c r="Z502" s="2392"/>
      <c r="AA502" s="2392"/>
      <c r="AB502" s="2392"/>
      <c r="AC502" s="2392"/>
      <c r="AD502" s="2392"/>
      <c r="AE502" s="2392"/>
      <c r="AF502" s="2392"/>
      <c r="AG502" s="2392"/>
      <c r="AH502" s="2392"/>
      <c r="AI502" s="2392"/>
      <c r="AJ502" s="2392"/>
      <c r="AK502" s="239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6" customHeight="1">
      <c r="B503" s="1522" t="s">
        <v>2025</v>
      </c>
      <c r="C503" s="1490"/>
      <c r="D503" s="1490"/>
      <c r="E503" s="1490"/>
      <c r="F503" s="1490"/>
      <c r="G503" s="1490"/>
      <c r="H503" s="1490"/>
      <c r="I503" s="1490"/>
      <c r="J503" s="1490"/>
      <c r="K503" s="1490"/>
      <c r="L503" s="1490"/>
      <c r="M503" s="1490"/>
      <c r="N503" s="1490"/>
      <c r="O503" s="1490"/>
      <c r="P503" s="1490"/>
      <c r="Q503" s="2080" t="s">
        <v>705</v>
      </c>
      <c r="R503" s="2081"/>
      <c r="S503" s="2081"/>
      <c r="T503" s="2081"/>
      <c r="U503" s="2081"/>
      <c r="V503" s="2081"/>
      <c r="W503" s="2081"/>
      <c r="X503" s="2081"/>
      <c r="Y503" s="2081"/>
      <c r="Z503" s="2081"/>
      <c r="AA503" s="2081"/>
      <c r="AB503" s="2081"/>
      <c r="AC503" s="2081"/>
      <c r="AD503" s="2081"/>
      <c r="AE503" s="2081"/>
      <c r="AF503" s="2081"/>
      <c r="AG503" s="2081"/>
      <c r="AH503" s="2081"/>
      <c r="AI503" s="2081"/>
      <c r="AJ503" s="2081"/>
      <c r="AK503" s="208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418</v>
      </c>
      <c r="C504" s="77"/>
      <c r="D504" s="77"/>
      <c r="E504" s="77"/>
      <c r="F504" s="77"/>
      <c r="G504" s="77"/>
      <c r="H504" s="77"/>
      <c r="I504" s="77"/>
      <c r="J504" s="77"/>
      <c r="K504" s="77"/>
      <c r="L504" s="77"/>
      <c r="M504" s="77"/>
      <c r="N504" s="77"/>
      <c r="O504" s="77"/>
      <c r="P504" s="77"/>
      <c r="Q504" s="2126" t="s">
        <v>2607</v>
      </c>
      <c r="R504" s="2032"/>
      <c r="S504" s="2032"/>
      <c r="T504" s="2032"/>
      <c r="U504" s="2032"/>
      <c r="V504" s="2032"/>
      <c r="W504" s="2032"/>
      <c r="X504" s="2032"/>
      <c r="Y504" s="2032"/>
      <c r="Z504" s="2032"/>
      <c r="AA504" s="2032"/>
      <c r="AB504" s="2032"/>
      <c r="AC504" s="2032"/>
      <c r="AD504" s="2032"/>
      <c r="AE504" s="2032"/>
      <c r="AF504" s="2032"/>
      <c r="AG504" s="2032"/>
      <c r="AH504" s="2032"/>
      <c r="AI504" s="2032"/>
      <c r="AJ504" s="2032"/>
      <c r="AK504" s="212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26" t="s">
        <v>2633</v>
      </c>
      <c r="R505" s="2032"/>
      <c r="S505" s="2032"/>
      <c r="T505" s="2032"/>
      <c r="U505" s="2032"/>
      <c r="V505" s="2032"/>
      <c r="W505" s="2032"/>
      <c r="X505" s="2032"/>
      <c r="Y505" s="2032"/>
      <c r="Z505" s="2032"/>
      <c r="AA505" s="2032"/>
      <c r="AB505" s="2032"/>
      <c r="AC505" s="2032"/>
      <c r="AD505" s="2032"/>
      <c r="AE505" s="2032"/>
      <c r="AF505" s="2032"/>
      <c r="AG505" s="2032"/>
      <c r="AH505" s="2032"/>
      <c r="AI505" s="2032"/>
      <c r="AJ505" s="2032"/>
      <c r="AK505" s="212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2022</v>
      </c>
      <c r="C506" s="77"/>
      <c r="D506" s="77"/>
      <c r="E506" s="77"/>
      <c r="F506" s="77"/>
      <c r="G506" s="77"/>
      <c r="H506" s="77"/>
      <c r="I506" s="77"/>
      <c r="J506" s="77"/>
      <c r="K506" s="77"/>
      <c r="L506" s="77"/>
      <c r="M506" s="77"/>
      <c r="N506" s="77"/>
      <c r="O506" s="77"/>
      <c r="P506" s="77"/>
      <c r="Q506" s="2126" t="s">
        <v>2606</v>
      </c>
      <c r="R506" s="2032"/>
      <c r="S506" s="2032"/>
      <c r="T506" s="2032"/>
      <c r="U506" s="2032"/>
      <c r="V506" s="2032"/>
      <c r="W506" s="2032"/>
      <c r="X506" s="2032"/>
      <c r="Y506" s="2032"/>
      <c r="Z506" s="2032"/>
      <c r="AA506" s="2032"/>
      <c r="AB506" s="2032"/>
      <c r="AC506" s="2032"/>
      <c r="AD506" s="2032"/>
      <c r="AE506" s="2032"/>
      <c r="AF506" s="2032"/>
      <c r="AG506" s="2032"/>
      <c r="AH506" s="2032"/>
      <c r="AI506" s="2032"/>
      <c r="AJ506" s="2032"/>
      <c r="AK506" s="212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2023</v>
      </c>
      <c r="C507" s="77"/>
      <c r="D507" s="77"/>
      <c r="E507" s="77"/>
      <c r="F507" s="77"/>
      <c r="G507" s="77"/>
      <c r="H507" s="77"/>
      <c r="I507" s="77"/>
      <c r="J507" s="77"/>
      <c r="K507" s="77"/>
      <c r="L507" s="77"/>
      <c r="M507" s="2014">
        <v>75</v>
      </c>
      <c r="N507" s="2015"/>
      <c r="O507" s="2015"/>
      <c r="P507" s="2016"/>
      <c r="Q507" s="1520" t="s">
        <v>2024</v>
      </c>
      <c r="R507" s="1521"/>
      <c r="S507" s="1521"/>
      <c r="T507" s="1521"/>
      <c r="U507" s="1521"/>
      <c r="V507" s="1521"/>
      <c r="W507" s="1521"/>
      <c r="X507" s="1521"/>
      <c r="Y507" s="1521"/>
      <c r="Z507" s="1521"/>
      <c r="AA507" s="1521"/>
      <c r="AB507" s="1521"/>
      <c r="AC507" s="1521"/>
      <c r="AD507" s="1521"/>
      <c r="AE507" s="1521"/>
      <c r="AF507" s="1521"/>
      <c r="AG507" s="1521"/>
      <c r="AH507" s="2014">
        <v>11</v>
      </c>
      <c r="AI507" s="2015"/>
      <c r="AJ507" s="2015"/>
      <c r="AK507" s="201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9" t="s">
        <v>421</v>
      </c>
      <c r="AD511" s="2160"/>
      <c r="AE511" s="2160"/>
      <c r="AF511" s="2160"/>
      <c r="AG511" s="2160"/>
      <c r="AH511" s="2160"/>
      <c r="AI511" s="2160"/>
      <c r="AJ511" s="2160"/>
      <c r="AK511" s="216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20" t="s">
        <v>422</v>
      </c>
      <c r="AD512" s="2121"/>
      <c r="AE512" s="2121"/>
      <c r="AF512" s="2121"/>
      <c r="AG512" s="82" t="s">
        <v>423</v>
      </c>
      <c r="AH512" s="2121" t="s">
        <v>424</v>
      </c>
      <c r="AI512" s="2121"/>
      <c r="AJ512" s="2121"/>
      <c r="AK512" s="212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7" t="s">
        <v>425</v>
      </c>
      <c r="C513" s="2018"/>
      <c r="D513" s="2018"/>
      <c r="E513" s="2018"/>
      <c r="F513" s="2018"/>
      <c r="G513" s="2018"/>
      <c r="H513" s="2019"/>
      <c r="I513" s="72" t="s">
        <v>426</v>
      </c>
      <c r="J513" s="72"/>
      <c r="K513" s="72"/>
      <c r="L513" s="72"/>
      <c r="M513" s="72"/>
      <c r="N513" s="72"/>
      <c r="O513" s="72"/>
      <c r="P513" s="72"/>
      <c r="Q513" s="72"/>
      <c r="R513" s="72"/>
      <c r="S513" s="72"/>
      <c r="T513" s="72"/>
      <c r="U513" s="72"/>
      <c r="V513" s="72"/>
      <c r="W513" s="72"/>
      <c r="X513" s="25"/>
      <c r="Y513" s="25"/>
      <c r="AC513" s="2027">
        <v>2</v>
      </c>
      <c r="AD513" s="2028"/>
      <c r="AE513" s="2028"/>
      <c r="AF513" s="2028"/>
      <c r="AG513" s="75" t="s">
        <v>423</v>
      </c>
      <c r="AH513" s="2063">
        <v>2020</v>
      </c>
      <c r="AI513" s="2063"/>
      <c r="AJ513" s="2063"/>
      <c r="AK513" s="206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0"/>
      <c r="C514" s="2021"/>
      <c r="D514" s="2021"/>
      <c r="E514" s="2021"/>
      <c r="F514" s="2021"/>
      <c r="G514" s="2021"/>
      <c r="H514" s="2022"/>
      <c r="I514" s="80" t="s">
        <v>427</v>
      </c>
      <c r="J514" s="80"/>
      <c r="K514" s="80"/>
      <c r="L514" s="80"/>
      <c r="M514" s="80"/>
      <c r="N514" s="80"/>
      <c r="O514" s="80"/>
      <c r="P514" s="80"/>
      <c r="Q514" s="80"/>
      <c r="R514" s="80"/>
      <c r="S514" s="80"/>
      <c r="T514" s="80"/>
      <c r="U514" s="80"/>
      <c r="V514" s="80"/>
      <c r="W514" s="80"/>
      <c r="X514" s="80"/>
      <c r="Y514" s="80"/>
      <c r="Z514" s="80"/>
      <c r="AA514" s="80"/>
      <c r="AB514" s="80"/>
      <c r="AC514" s="2027" t="s">
        <v>625</v>
      </c>
      <c r="AD514" s="2028"/>
      <c r="AE514" s="2028"/>
      <c r="AF514" s="2028"/>
      <c r="AG514" s="65" t="s">
        <v>423</v>
      </c>
      <c r="AH514" s="2063"/>
      <c r="AI514" s="2063"/>
      <c r="AJ514" s="2063"/>
      <c r="AK514" s="206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7" t="s">
        <v>428</v>
      </c>
      <c r="C515" s="2018"/>
      <c r="D515" s="2018"/>
      <c r="E515" s="2018"/>
      <c r="F515" s="2018"/>
      <c r="G515" s="2018"/>
      <c r="H515" s="2019"/>
      <c r="I515" s="72" t="s">
        <v>429</v>
      </c>
      <c r="J515" s="72"/>
      <c r="K515" s="72"/>
      <c r="L515" s="72"/>
      <c r="M515" s="72"/>
      <c r="N515" s="72"/>
      <c r="O515" s="72"/>
      <c r="P515" s="72"/>
      <c r="Q515" s="72"/>
      <c r="R515" s="72"/>
      <c r="S515" s="72"/>
      <c r="T515" s="72"/>
      <c r="U515" s="72"/>
      <c r="V515" s="72"/>
      <c r="W515" s="72"/>
      <c r="X515" s="25"/>
      <c r="Y515" s="25"/>
      <c r="AC515" s="2027" t="s">
        <v>625</v>
      </c>
      <c r="AD515" s="2028"/>
      <c r="AE515" s="2028"/>
      <c r="AF515" s="2028"/>
      <c r="AG515" s="75" t="s">
        <v>423</v>
      </c>
      <c r="AH515" s="2063"/>
      <c r="AI515" s="2063"/>
      <c r="AJ515" s="2063"/>
      <c r="AK515" s="206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0"/>
      <c r="C516" s="2021"/>
      <c r="D516" s="2021"/>
      <c r="E516" s="2021"/>
      <c r="F516" s="2021"/>
      <c r="G516" s="2021"/>
      <c r="H516" s="2022"/>
      <c r="I516" s="25" t="s">
        <v>430</v>
      </c>
      <c r="J516" s="25"/>
      <c r="K516" s="25"/>
      <c r="L516" s="25"/>
      <c r="M516" s="25"/>
      <c r="N516" s="25"/>
      <c r="O516" s="25"/>
      <c r="P516" s="25"/>
      <c r="Q516" s="25"/>
      <c r="R516" s="25"/>
      <c r="S516" s="25"/>
      <c r="T516" s="25"/>
      <c r="U516" s="25"/>
      <c r="V516" s="25"/>
      <c r="W516" s="25"/>
      <c r="X516" s="25"/>
      <c r="Y516" s="25"/>
      <c r="AC516" s="2027" t="s">
        <v>625</v>
      </c>
      <c r="AD516" s="2028"/>
      <c r="AE516" s="2028"/>
      <c r="AF516" s="2028"/>
      <c r="AG516" s="75" t="s">
        <v>423</v>
      </c>
      <c r="AH516" s="2063"/>
      <c r="AI516" s="2063"/>
      <c r="AJ516" s="2063"/>
      <c r="AK516" s="206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0"/>
      <c r="C517" s="2021"/>
      <c r="D517" s="2021"/>
      <c r="E517" s="2021"/>
      <c r="F517" s="2021"/>
      <c r="G517" s="2021"/>
      <c r="H517" s="2022"/>
      <c r="I517" s="25" t="s">
        <v>431</v>
      </c>
      <c r="J517" s="25"/>
      <c r="K517" s="25"/>
      <c r="L517" s="25"/>
      <c r="M517" s="25"/>
      <c r="N517" s="25"/>
      <c r="O517" s="25"/>
      <c r="P517" s="25"/>
      <c r="Q517" s="25"/>
      <c r="R517" s="25"/>
      <c r="S517" s="25"/>
      <c r="T517" s="25"/>
      <c r="U517" s="25"/>
      <c r="V517" s="25"/>
      <c r="W517" s="25"/>
      <c r="X517" s="25"/>
      <c r="Y517" s="25"/>
      <c r="AC517" s="2027" t="s">
        <v>625</v>
      </c>
      <c r="AD517" s="2028"/>
      <c r="AE517" s="2028"/>
      <c r="AF517" s="2028"/>
      <c r="AG517" s="75" t="s">
        <v>423</v>
      </c>
      <c r="AH517" s="2063"/>
      <c r="AI517" s="2063"/>
      <c r="AJ517" s="2063"/>
      <c r="AK517" s="206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20"/>
      <c r="C518" s="2021"/>
      <c r="D518" s="2021"/>
      <c r="E518" s="2021"/>
      <c r="F518" s="2021"/>
      <c r="G518" s="2021"/>
      <c r="H518" s="2022"/>
      <c r="I518" s="25" t="s">
        <v>432</v>
      </c>
      <c r="J518" s="25"/>
      <c r="K518" s="25"/>
      <c r="L518" s="25"/>
      <c r="M518" s="25"/>
      <c r="N518" s="25"/>
      <c r="O518" s="25"/>
      <c r="P518" s="25"/>
      <c r="Q518" s="25"/>
      <c r="R518" s="25"/>
      <c r="S518" s="25"/>
      <c r="T518" s="25"/>
      <c r="U518" s="25"/>
      <c r="V518" s="25"/>
      <c r="W518" s="25"/>
      <c r="X518" s="25"/>
      <c r="Y518" s="25"/>
      <c r="AC518" s="2027">
        <v>1</v>
      </c>
      <c r="AD518" s="2028"/>
      <c r="AE518" s="2028"/>
      <c r="AF518" s="2028"/>
      <c r="AG518" s="75" t="s">
        <v>423</v>
      </c>
      <c r="AH518" s="2063">
        <v>2022</v>
      </c>
      <c r="AI518" s="2063"/>
      <c r="AJ518" s="2063"/>
      <c r="AK518" s="206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0"/>
      <c r="C519" s="2021"/>
      <c r="D519" s="2021"/>
      <c r="E519" s="2021"/>
      <c r="F519" s="2021"/>
      <c r="G519" s="2021"/>
      <c r="H519" s="2022"/>
      <c r="I519" s="177" t="s">
        <v>433</v>
      </c>
      <c r="J519" s="25"/>
      <c r="K519" s="25"/>
      <c r="L519" s="25"/>
      <c r="M519" s="25"/>
      <c r="N519" s="25"/>
      <c r="O519" s="25"/>
      <c r="P519" s="25"/>
      <c r="Q519" s="25"/>
      <c r="R519" s="25"/>
      <c r="S519" s="25"/>
      <c r="T519" s="25"/>
      <c r="U519" s="25"/>
      <c r="V519" s="25"/>
      <c r="W519" s="25"/>
      <c r="X519" s="25"/>
      <c r="Y519" s="25"/>
      <c r="AC519" s="2093">
        <v>1</v>
      </c>
      <c r="AD519" s="2094"/>
      <c r="AE519" s="2094"/>
      <c r="AF519" s="2094"/>
      <c r="AG519" s="75" t="s">
        <v>423</v>
      </c>
      <c r="AH519" s="2063">
        <v>2022</v>
      </c>
      <c r="AI519" s="2063"/>
      <c r="AJ519" s="2063"/>
      <c r="AK519" s="206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0"/>
      <c r="C520" s="2021"/>
      <c r="D520" s="2021"/>
      <c r="E520" s="2021"/>
      <c r="F520" s="2021"/>
      <c r="G520" s="2021"/>
      <c r="H520" s="2022"/>
      <c r="I520" s="1523" t="s">
        <v>174</v>
      </c>
      <c r="J520" s="80"/>
      <c r="K520" s="80"/>
      <c r="L520" s="2168" t="s">
        <v>342</v>
      </c>
      <c r="M520" s="2116"/>
      <c r="N520" s="2116"/>
      <c r="O520" s="2116"/>
      <c r="P520" s="2116"/>
      <c r="Q520" s="2116"/>
      <c r="R520" s="2116"/>
      <c r="S520" s="2116"/>
      <c r="T520" s="2116"/>
      <c r="U520" s="2116"/>
      <c r="V520" s="2116"/>
      <c r="W520" s="2116"/>
      <c r="X520" s="2116"/>
      <c r="Y520" s="2116"/>
      <c r="Z520" s="2116"/>
      <c r="AA520" s="2116"/>
      <c r="AB520" s="2169"/>
      <c r="AC520" s="2027" t="s">
        <v>625</v>
      </c>
      <c r="AD520" s="2028"/>
      <c r="AE520" s="2028"/>
      <c r="AF520" s="2028"/>
      <c r="AG520" s="1494" t="s">
        <v>423</v>
      </c>
      <c r="AH520" s="2063"/>
      <c r="AI520" s="2063"/>
      <c r="AJ520" s="2063"/>
      <c r="AK520" s="206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39" t="s">
        <v>2029</v>
      </c>
      <c r="J521" s="25"/>
      <c r="K521" s="25"/>
      <c r="L521" s="25"/>
      <c r="M521" s="25"/>
      <c r="N521" s="25"/>
      <c r="O521" s="25"/>
      <c r="P521" s="25"/>
      <c r="Q521" s="25"/>
      <c r="R521" s="25"/>
      <c r="S521" s="25"/>
      <c r="T521" s="25"/>
      <c r="U521" s="25"/>
      <c r="V521" s="25"/>
      <c r="W521" s="25"/>
      <c r="X521" s="25"/>
      <c r="Y521" s="25"/>
      <c r="AC521" s="2058" t="s">
        <v>705</v>
      </c>
      <c r="AD521" s="2058"/>
      <c r="AE521" s="2058"/>
      <c r="AF521" s="2058"/>
      <c r="AG521" s="1786"/>
      <c r="AH521" s="2091"/>
      <c r="AI521" s="2091"/>
      <c r="AJ521" s="2091"/>
      <c r="AK521" s="209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5"/>
      <c r="C522" s="1486"/>
      <c r="D522" s="1486"/>
      <c r="E522" s="1486"/>
      <c r="F522" s="1486"/>
      <c r="G522" s="1486"/>
      <c r="H522" s="1487"/>
      <c r="I522" s="686" t="s">
        <v>2026</v>
      </c>
      <c r="J522" s="25"/>
      <c r="K522" s="25"/>
      <c r="L522" s="25"/>
      <c r="M522" s="25"/>
      <c r="N522" s="25"/>
      <c r="O522" s="25"/>
      <c r="P522" s="25"/>
      <c r="Q522" s="25"/>
      <c r="R522" s="25"/>
      <c r="S522" s="25"/>
      <c r="T522" s="25"/>
      <c r="U522" s="25"/>
      <c r="V522" s="25"/>
      <c r="W522" s="25"/>
      <c r="X522" s="25"/>
      <c r="Y522" s="25"/>
      <c r="AC522" s="2093"/>
      <c r="AD522" s="2094"/>
      <c r="AE522" s="2094"/>
      <c r="AF522" s="2095"/>
      <c r="AG522" s="1786"/>
      <c r="AH522" s="2091"/>
      <c r="AI522" s="2091"/>
      <c r="AJ522" s="2091"/>
      <c r="AK522" s="209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5"/>
      <c r="C523" s="1486"/>
      <c r="D523" s="1486"/>
      <c r="E523" s="1486"/>
      <c r="F523" s="1486"/>
      <c r="G523" s="1486"/>
      <c r="H523" s="1487"/>
      <c r="I523" s="686" t="s">
        <v>2027</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5"/>
      <c r="C524" s="1486"/>
      <c r="D524" s="1486"/>
      <c r="E524" s="1486"/>
      <c r="F524" s="1486"/>
      <c r="G524" s="1486"/>
      <c r="H524" s="1487"/>
      <c r="I524" s="1524" t="s">
        <v>2028</v>
      </c>
      <c r="J524" s="80"/>
      <c r="K524" s="80"/>
      <c r="L524" s="80"/>
      <c r="M524" s="80"/>
      <c r="N524" s="80"/>
      <c r="O524" s="80"/>
      <c r="P524" s="80"/>
      <c r="Q524" s="80"/>
      <c r="R524" s="80"/>
      <c r="S524" s="80"/>
      <c r="T524" s="80"/>
      <c r="U524" s="80"/>
      <c r="V524" s="80"/>
      <c r="W524" s="80"/>
      <c r="X524" s="80"/>
      <c r="Y524" s="80"/>
      <c r="Z524" s="80"/>
      <c r="AA524" s="80"/>
      <c r="AB524" s="80"/>
      <c r="AC524" s="2096">
        <v>0.5</v>
      </c>
      <c r="AD524" s="2097"/>
      <c r="AE524" s="2097"/>
      <c r="AF524" s="2098"/>
      <c r="AG524" s="1787"/>
      <c r="AH524" s="2099"/>
      <c r="AI524" s="2099"/>
      <c r="AJ524" s="2099"/>
      <c r="AK524" s="210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162" t="s">
        <v>422</v>
      </c>
      <c r="AD525" s="2163"/>
      <c r="AE525" s="2163"/>
      <c r="AF525" s="2163"/>
      <c r="AG525" s="1787" t="s">
        <v>423</v>
      </c>
      <c r="AH525" s="2163" t="s">
        <v>424</v>
      </c>
      <c r="AI525" s="2163"/>
      <c r="AJ525" s="2163"/>
      <c r="AK525" s="216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7" t="s">
        <v>434</v>
      </c>
      <c r="C526" s="2018"/>
      <c r="D526" s="2018"/>
      <c r="E526" s="2018"/>
      <c r="F526" s="2018"/>
      <c r="G526" s="2018"/>
      <c r="H526" s="2019"/>
      <c r="I526" s="72" t="s">
        <v>435</v>
      </c>
      <c r="J526" s="72"/>
      <c r="K526" s="72"/>
      <c r="L526" s="72"/>
      <c r="M526" s="72"/>
      <c r="N526" s="72"/>
      <c r="O526" s="72"/>
      <c r="P526" s="72"/>
      <c r="Q526" s="72"/>
      <c r="R526" s="72"/>
      <c r="S526" s="72"/>
      <c r="T526" s="72"/>
      <c r="U526" s="72"/>
      <c r="V526" s="72"/>
      <c r="W526" s="72"/>
      <c r="X526" s="25"/>
      <c r="Y526" s="25"/>
      <c r="AC526" s="2027">
        <v>5</v>
      </c>
      <c r="AD526" s="2028"/>
      <c r="AE526" s="2028"/>
      <c r="AF526" s="2028"/>
      <c r="AG526" s="75" t="s">
        <v>423</v>
      </c>
      <c r="AH526" s="2063">
        <v>2021</v>
      </c>
      <c r="AI526" s="2063"/>
      <c r="AJ526" s="2063"/>
      <c r="AK526" s="206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9" customHeight="1">
      <c r="B527" s="2020"/>
      <c r="C527" s="2021"/>
      <c r="D527" s="2021"/>
      <c r="E527" s="2021"/>
      <c r="F527" s="2021"/>
      <c r="G527" s="2021"/>
      <c r="H527" s="2022"/>
      <c r="I527" s="25" t="s">
        <v>436</v>
      </c>
      <c r="J527" s="25"/>
      <c r="K527" s="25"/>
      <c r="L527" s="25"/>
      <c r="M527" s="25"/>
      <c r="N527" s="25"/>
      <c r="O527" s="25"/>
      <c r="P527" s="25"/>
      <c r="Q527" s="25"/>
      <c r="R527" s="25"/>
      <c r="S527" s="25"/>
      <c r="T527" s="25"/>
      <c r="U527" s="25"/>
      <c r="V527" s="25"/>
      <c r="W527" s="25"/>
      <c r="X527" s="25"/>
      <c r="Y527" s="25"/>
      <c r="AC527" s="2027">
        <v>5</v>
      </c>
      <c r="AD527" s="2028"/>
      <c r="AE527" s="2028"/>
      <c r="AF527" s="2028"/>
      <c r="AG527" s="75" t="s">
        <v>423</v>
      </c>
      <c r="AH527" s="2063">
        <v>2021</v>
      </c>
      <c r="AI527" s="2063"/>
      <c r="AJ527" s="2063"/>
      <c r="AK527" s="206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0"/>
      <c r="C528" s="2021"/>
      <c r="D528" s="2021"/>
      <c r="E528" s="2021"/>
      <c r="F528" s="2021"/>
      <c r="G528" s="2021"/>
      <c r="H528" s="2022"/>
      <c r="I528" s="80" t="s">
        <v>437</v>
      </c>
      <c r="J528" s="80"/>
      <c r="K528" s="80"/>
      <c r="L528" s="80"/>
      <c r="M528" s="80"/>
      <c r="N528" s="80"/>
      <c r="O528" s="80"/>
      <c r="P528" s="80"/>
      <c r="Q528" s="80"/>
      <c r="R528" s="80"/>
      <c r="S528" s="80"/>
      <c r="T528" s="80"/>
      <c r="U528" s="80"/>
      <c r="V528" s="80"/>
      <c r="W528" s="80"/>
      <c r="X528" s="80"/>
      <c r="Y528" s="80"/>
      <c r="Z528" s="80"/>
      <c r="AA528" s="80"/>
      <c r="AB528" s="80"/>
      <c r="AC528" s="2027">
        <v>2</v>
      </c>
      <c r="AD528" s="2028"/>
      <c r="AE528" s="2028"/>
      <c r="AF528" s="2028"/>
      <c r="AG528" s="65" t="s">
        <v>423</v>
      </c>
      <c r="AH528" s="2063">
        <v>2022</v>
      </c>
      <c r="AI528" s="2063"/>
      <c r="AJ528" s="2063"/>
      <c r="AK528" s="206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7" t="s">
        <v>438</v>
      </c>
      <c r="C529" s="2018"/>
      <c r="D529" s="2018"/>
      <c r="E529" s="2018"/>
      <c r="F529" s="2018"/>
      <c r="G529" s="2018"/>
      <c r="H529" s="2019"/>
      <c r="I529" s="72" t="s">
        <v>435</v>
      </c>
      <c r="J529" s="72"/>
      <c r="K529" s="72"/>
      <c r="L529" s="72"/>
      <c r="M529" s="72"/>
      <c r="N529" s="72"/>
      <c r="O529" s="72"/>
      <c r="P529" s="72"/>
      <c r="Q529" s="72"/>
      <c r="R529" s="72"/>
      <c r="S529" s="72"/>
      <c r="T529" s="72"/>
      <c r="U529" s="72"/>
      <c r="V529" s="72"/>
      <c r="W529" s="72"/>
      <c r="X529" s="72"/>
      <c r="Y529" s="72"/>
      <c r="Z529" s="72"/>
      <c r="AA529" s="72"/>
      <c r="AB529" s="72"/>
      <c r="AC529" s="2093">
        <v>5</v>
      </c>
      <c r="AD529" s="2094"/>
      <c r="AE529" s="2094"/>
      <c r="AF529" s="2094"/>
      <c r="AG529" s="196" t="s">
        <v>423</v>
      </c>
      <c r="AH529" s="2063">
        <v>2021</v>
      </c>
      <c r="AI529" s="2063"/>
      <c r="AJ529" s="2063"/>
      <c r="AK529" s="206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0"/>
      <c r="C530" s="2021"/>
      <c r="D530" s="2021"/>
      <c r="E530" s="2021"/>
      <c r="F530" s="2021"/>
      <c r="G530" s="2021"/>
      <c r="H530" s="2022"/>
      <c r="I530" s="25" t="s">
        <v>436</v>
      </c>
      <c r="J530" s="25"/>
      <c r="K530" s="25"/>
      <c r="L530" s="25"/>
      <c r="M530" s="25"/>
      <c r="N530" s="25"/>
      <c r="O530" s="25"/>
      <c r="P530" s="25"/>
      <c r="Q530" s="25"/>
      <c r="R530" s="25"/>
      <c r="S530" s="25"/>
      <c r="T530" s="25"/>
      <c r="U530" s="25"/>
      <c r="V530" s="25"/>
      <c r="W530" s="25"/>
      <c r="X530" s="25"/>
      <c r="Y530" s="25"/>
      <c r="Z530" s="25"/>
      <c r="AA530" s="25"/>
      <c r="AB530" s="25"/>
      <c r="AC530" s="2027">
        <v>5</v>
      </c>
      <c r="AD530" s="2028"/>
      <c r="AE530" s="2028"/>
      <c r="AF530" s="2028"/>
      <c r="AG530" s="75" t="s">
        <v>423</v>
      </c>
      <c r="AH530" s="2063">
        <v>2021</v>
      </c>
      <c r="AI530" s="2063"/>
      <c r="AJ530" s="2063"/>
      <c r="AK530" s="206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2"/>
      <c r="C531" s="2183"/>
      <c r="D531" s="2183"/>
      <c r="E531" s="2183"/>
      <c r="F531" s="2183"/>
      <c r="G531" s="2183"/>
      <c r="H531" s="2184"/>
      <c r="I531" s="80" t="s">
        <v>437</v>
      </c>
      <c r="J531" s="80"/>
      <c r="K531" s="80"/>
      <c r="L531" s="80"/>
      <c r="M531" s="80"/>
      <c r="N531" s="80"/>
      <c r="O531" s="80"/>
      <c r="P531" s="80"/>
      <c r="Q531" s="80"/>
      <c r="R531" s="80"/>
      <c r="S531" s="80"/>
      <c r="T531" s="80"/>
      <c r="U531" s="80"/>
      <c r="V531" s="80"/>
      <c r="W531" s="80"/>
      <c r="X531" s="80"/>
      <c r="Y531" s="80"/>
      <c r="Z531" s="80"/>
      <c r="AA531" s="80"/>
      <c r="AB531" s="80"/>
      <c r="AC531" s="2027">
        <v>5</v>
      </c>
      <c r="AD531" s="2028"/>
      <c r="AE531" s="2028"/>
      <c r="AF531" s="2028"/>
      <c r="AG531" s="65" t="s">
        <v>423</v>
      </c>
      <c r="AH531" s="2063">
        <v>2024</v>
      </c>
      <c r="AI531" s="2063"/>
      <c r="AJ531" s="2063"/>
      <c r="AK531" s="206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7" t="s">
        <v>439</v>
      </c>
      <c r="C532" s="2018"/>
      <c r="D532" s="2018"/>
      <c r="E532" s="2018"/>
      <c r="F532" s="2018"/>
      <c r="G532" s="2018"/>
      <c r="H532" s="2019"/>
      <c r="I532" s="71" t="s">
        <v>440</v>
      </c>
      <c r="J532" s="72"/>
      <c r="K532" s="72"/>
      <c r="L532" s="72"/>
      <c r="M532" s="72"/>
      <c r="N532" s="72"/>
      <c r="O532" s="2032" t="s">
        <v>2627</v>
      </c>
      <c r="P532" s="2032"/>
      <c r="Q532" s="2032"/>
      <c r="R532" s="2032"/>
      <c r="S532" s="2032"/>
      <c r="T532" s="2032"/>
      <c r="U532" s="2032"/>
      <c r="V532" s="2032"/>
      <c r="W532" s="2032"/>
      <c r="X532" s="2032"/>
      <c r="Y532" s="2032"/>
      <c r="Z532" s="2032"/>
      <c r="AA532" s="2032"/>
      <c r="AB532" s="94"/>
      <c r="AC532" s="2093" t="s">
        <v>625</v>
      </c>
      <c r="AD532" s="2094"/>
      <c r="AE532" s="2094"/>
      <c r="AF532" s="2094"/>
      <c r="AG532" s="196" t="s">
        <v>423</v>
      </c>
      <c r="AH532" s="2063"/>
      <c r="AI532" s="2063"/>
      <c r="AJ532" s="2063"/>
      <c r="AK532" s="206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0"/>
      <c r="C533" s="2021"/>
      <c r="D533" s="2021"/>
      <c r="E533" s="2021"/>
      <c r="F533" s="2021"/>
      <c r="G533" s="2021"/>
      <c r="H533" s="2022"/>
      <c r="I533" s="171" t="s">
        <v>441</v>
      </c>
      <c r="J533" s="25"/>
      <c r="K533" s="25"/>
      <c r="L533" s="25"/>
      <c r="M533" s="25"/>
      <c r="N533" s="25"/>
      <c r="O533" s="25"/>
      <c r="P533" s="25"/>
      <c r="Q533" s="25"/>
      <c r="R533" s="25"/>
      <c r="S533" s="25"/>
      <c r="T533" s="25"/>
      <c r="U533" s="25"/>
      <c r="V533" s="25"/>
      <c r="W533" s="25"/>
      <c r="X533" s="25"/>
      <c r="Y533" s="25"/>
      <c r="Z533" s="25"/>
      <c r="AA533" s="25"/>
      <c r="AB533" s="101"/>
      <c r="AC533" s="2027" t="s">
        <v>625</v>
      </c>
      <c r="AD533" s="2028"/>
      <c r="AE533" s="2028"/>
      <c r="AF533" s="2028"/>
      <c r="AG533" s="75" t="s">
        <v>423</v>
      </c>
      <c r="AH533" s="2063"/>
      <c r="AI533" s="2063"/>
      <c r="AJ533" s="2063"/>
      <c r="AK533" s="206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0"/>
      <c r="C534" s="2021"/>
      <c r="D534" s="2021"/>
      <c r="E534" s="2021"/>
      <c r="F534" s="2021"/>
      <c r="G534" s="2021"/>
      <c r="H534" s="2022"/>
      <c r="I534" s="79" t="s">
        <v>442</v>
      </c>
      <c r="J534" s="80"/>
      <c r="K534" s="80"/>
      <c r="L534" s="80"/>
      <c r="M534" s="80"/>
      <c r="N534" s="80"/>
      <c r="O534" s="80"/>
      <c r="P534" s="80"/>
      <c r="Q534" s="80"/>
      <c r="R534" s="80"/>
      <c r="S534" s="80"/>
      <c r="T534" s="80"/>
      <c r="U534" s="80"/>
      <c r="V534" s="80"/>
      <c r="W534" s="80"/>
      <c r="X534" s="80"/>
      <c r="Y534" s="80"/>
      <c r="Z534" s="80"/>
      <c r="AA534" s="80"/>
      <c r="AB534" s="81"/>
      <c r="AC534" s="2027">
        <v>1</v>
      </c>
      <c r="AD534" s="2028"/>
      <c r="AE534" s="2028"/>
      <c r="AF534" s="2028"/>
      <c r="AG534" s="65" t="s">
        <v>423</v>
      </c>
      <c r="AH534" s="2063">
        <v>2018</v>
      </c>
      <c r="AI534" s="2063"/>
      <c r="AJ534" s="2063"/>
      <c r="AK534" s="206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0"/>
      <c r="C535" s="2021"/>
      <c r="D535" s="2021"/>
      <c r="E535" s="2021"/>
      <c r="F535" s="2021"/>
      <c r="G535" s="2021"/>
      <c r="H535" s="2022"/>
      <c r="I535" s="72" t="s">
        <v>443</v>
      </c>
      <c r="J535" s="72"/>
      <c r="K535" s="72"/>
      <c r="L535" s="72"/>
      <c r="M535" s="72"/>
      <c r="N535" s="72"/>
      <c r="O535" s="2040" t="s">
        <v>2628</v>
      </c>
      <c r="P535" s="2040"/>
      <c r="Q535" s="2040"/>
      <c r="R535" s="2040"/>
      <c r="S535" s="2040"/>
      <c r="T535" s="2040"/>
      <c r="U535" s="2040"/>
      <c r="V535" s="2040"/>
      <c r="W535" s="2040"/>
      <c r="X535" s="2040"/>
      <c r="Y535" s="2040"/>
      <c r="Z535" s="2040"/>
      <c r="AA535" s="2040"/>
      <c r="AC535" s="2027" t="s">
        <v>625</v>
      </c>
      <c r="AD535" s="2028"/>
      <c r="AE535" s="2028"/>
      <c r="AF535" s="2028"/>
      <c r="AG535" s="75" t="s">
        <v>423</v>
      </c>
      <c r="AH535" s="2063"/>
      <c r="AI535" s="2063"/>
      <c r="AJ535" s="2063"/>
      <c r="AK535" s="206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0"/>
      <c r="C536" s="2021"/>
      <c r="D536" s="2021"/>
      <c r="E536" s="2021"/>
      <c r="F536" s="2021"/>
      <c r="G536" s="2021"/>
      <c r="H536" s="2022"/>
      <c r="I536" s="25" t="s">
        <v>441</v>
      </c>
      <c r="J536" s="25"/>
      <c r="K536" s="25"/>
      <c r="L536" s="25"/>
      <c r="M536" s="25"/>
      <c r="N536" s="25"/>
      <c r="O536" s="25"/>
      <c r="P536" s="25"/>
      <c r="Q536" s="25"/>
      <c r="R536" s="25"/>
      <c r="S536" s="25"/>
      <c r="T536" s="25"/>
      <c r="U536" s="25"/>
      <c r="V536" s="25"/>
      <c r="W536" s="25"/>
      <c r="X536" s="25"/>
      <c r="Y536" s="25"/>
      <c r="AC536" s="2027">
        <v>2</v>
      </c>
      <c r="AD536" s="2028"/>
      <c r="AE536" s="2028"/>
      <c r="AF536" s="2028"/>
      <c r="AG536" s="75" t="s">
        <v>423</v>
      </c>
      <c r="AH536" s="2063">
        <v>2020</v>
      </c>
      <c r="AI536" s="2063"/>
      <c r="AJ536" s="2063"/>
      <c r="AK536" s="206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0"/>
      <c r="C537" s="2021"/>
      <c r="D537" s="2021"/>
      <c r="E537" s="2021"/>
      <c r="F537" s="2021"/>
      <c r="G537" s="2021"/>
      <c r="H537" s="2022"/>
      <c r="I537" s="80" t="s">
        <v>442</v>
      </c>
      <c r="J537" s="80"/>
      <c r="K537" s="80"/>
      <c r="L537" s="80"/>
      <c r="M537" s="80"/>
      <c r="N537" s="80"/>
      <c r="O537" s="80"/>
      <c r="P537" s="80"/>
      <c r="Q537" s="80"/>
      <c r="R537" s="80"/>
      <c r="S537" s="80"/>
      <c r="T537" s="80"/>
      <c r="U537" s="80"/>
      <c r="V537" s="80"/>
      <c r="W537" s="80"/>
      <c r="X537" s="80"/>
      <c r="Y537" s="80"/>
      <c r="Z537" s="80"/>
      <c r="AA537" s="80"/>
      <c r="AB537" s="80"/>
      <c r="AC537" s="2027">
        <v>7</v>
      </c>
      <c r="AD537" s="2028"/>
      <c r="AE537" s="2028"/>
      <c r="AF537" s="2028"/>
      <c r="AG537" s="65" t="s">
        <v>423</v>
      </c>
      <c r="AH537" s="2063">
        <v>2020</v>
      </c>
      <c r="AI537" s="2063"/>
      <c r="AJ537" s="2063"/>
      <c r="AK537" s="206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0"/>
      <c r="C538" s="2021"/>
      <c r="D538" s="2021"/>
      <c r="E538" s="2021"/>
      <c r="F538" s="2021"/>
      <c r="G538" s="2021"/>
      <c r="H538" s="2022"/>
      <c r="I538" s="72" t="s">
        <v>443</v>
      </c>
      <c r="J538" s="72"/>
      <c r="K538" s="72"/>
      <c r="L538" s="72"/>
      <c r="M538" s="72"/>
      <c r="N538" s="72"/>
      <c r="O538" s="2043" t="s">
        <v>2684</v>
      </c>
      <c r="P538" s="2040"/>
      <c r="Q538" s="2040"/>
      <c r="R538" s="2040"/>
      <c r="S538" s="2040"/>
      <c r="T538" s="2040"/>
      <c r="U538" s="2040"/>
      <c r="V538" s="2040"/>
      <c r="W538" s="2040"/>
      <c r="X538" s="2040"/>
      <c r="Y538" s="2040"/>
      <c r="Z538" s="2040"/>
      <c r="AA538" s="2040"/>
      <c r="AC538" s="2027" t="s">
        <v>625</v>
      </c>
      <c r="AD538" s="2028"/>
      <c r="AE538" s="2028"/>
      <c r="AF538" s="2028"/>
      <c r="AG538" s="75" t="s">
        <v>423</v>
      </c>
      <c r="AH538" s="2063"/>
      <c r="AI538" s="2063"/>
      <c r="AJ538" s="2063"/>
      <c r="AK538" s="206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0"/>
      <c r="C539" s="2021"/>
      <c r="D539" s="2021"/>
      <c r="E539" s="2021"/>
      <c r="F539" s="2021"/>
      <c r="G539" s="2021"/>
      <c r="H539" s="2022"/>
      <c r="I539" s="25" t="s">
        <v>441</v>
      </c>
      <c r="J539" s="25"/>
      <c r="K539" s="25"/>
      <c r="L539" s="25"/>
      <c r="M539" s="25"/>
      <c r="N539" s="25"/>
      <c r="O539" s="25"/>
      <c r="P539" s="25"/>
      <c r="Q539" s="25"/>
      <c r="R539" s="25"/>
      <c r="S539" s="25"/>
      <c r="T539" s="25"/>
      <c r="U539" s="25"/>
      <c r="V539" s="25"/>
      <c r="W539" s="25"/>
      <c r="X539" s="25"/>
      <c r="Y539" s="25"/>
      <c r="AC539" s="2027">
        <v>4</v>
      </c>
      <c r="AD539" s="2028"/>
      <c r="AE539" s="2028"/>
      <c r="AF539" s="2028"/>
      <c r="AG539" s="75" t="s">
        <v>423</v>
      </c>
      <c r="AH539" s="2063">
        <v>2021</v>
      </c>
      <c r="AI539" s="2063"/>
      <c r="AJ539" s="2063"/>
      <c r="AK539" s="206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0"/>
      <c r="C540" s="2021"/>
      <c r="D540" s="2021"/>
      <c r="E540" s="2021"/>
      <c r="F540" s="2021"/>
      <c r="G540" s="2021"/>
      <c r="H540" s="2022"/>
      <c r="I540" s="80" t="s">
        <v>442</v>
      </c>
      <c r="J540" s="80"/>
      <c r="K540" s="80"/>
      <c r="L540" s="80"/>
      <c r="M540" s="80"/>
      <c r="N540" s="80"/>
      <c r="O540" s="80"/>
      <c r="P540" s="80"/>
      <c r="Q540" s="80"/>
      <c r="R540" s="80"/>
      <c r="S540" s="80"/>
      <c r="T540" s="80"/>
      <c r="U540" s="80"/>
      <c r="V540" s="80"/>
      <c r="W540" s="80"/>
      <c r="X540" s="80"/>
      <c r="Y540" s="80"/>
      <c r="Z540" s="80"/>
      <c r="AA540" s="80"/>
      <c r="AB540" s="80"/>
      <c r="AC540" s="2027">
        <v>4</v>
      </c>
      <c r="AD540" s="2028"/>
      <c r="AE540" s="2028"/>
      <c r="AF540" s="2028"/>
      <c r="AG540" s="65" t="s">
        <v>423</v>
      </c>
      <c r="AH540" s="2063">
        <v>2021</v>
      </c>
      <c r="AI540" s="2063"/>
      <c r="AJ540" s="2063"/>
      <c r="AK540" s="206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0"/>
      <c r="C541" s="2021"/>
      <c r="D541" s="2021"/>
      <c r="E541" s="2021"/>
      <c r="F541" s="2021"/>
      <c r="G541" s="2021"/>
      <c r="H541" s="2022"/>
      <c r="I541" s="72" t="s">
        <v>443</v>
      </c>
      <c r="J541" s="72"/>
      <c r="K541" s="72"/>
      <c r="L541" s="72"/>
      <c r="M541" s="72"/>
      <c r="N541" s="72"/>
      <c r="O541" s="2040" t="s">
        <v>342</v>
      </c>
      <c r="P541" s="2040"/>
      <c r="Q541" s="2040"/>
      <c r="R541" s="2040"/>
      <c r="S541" s="2040"/>
      <c r="T541" s="2040"/>
      <c r="U541" s="2040"/>
      <c r="V541" s="2040"/>
      <c r="W541" s="2040"/>
      <c r="X541" s="2040"/>
      <c r="Y541" s="2040"/>
      <c r="Z541" s="2040"/>
      <c r="AA541" s="2040"/>
      <c r="AC541" s="2027" t="s">
        <v>625</v>
      </c>
      <c r="AD541" s="2028"/>
      <c r="AE541" s="2028"/>
      <c r="AF541" s="2028"/>
      <c r="AG541" s="75" t="s">
        <v>423</v>
      </c>
      <c r="AH541" s="2063"/>
      <c r="AI541" s="2063"/>
      <c r="AJ541" s="2063"/>
      <c r="AK541" s="206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0"/>
      <c r="C542" s="2021"/>
      <c r="D542" s="2021"/>
      <c r="E542" s="2021"/>
      <c r="F542" s="2021"/>
      <c r="G542" s="2021"/>
      <c r="H542" s="2022"/>
      <c r="I542" s="25" t="s">
        <v>441</v>
      </c>
      <c r="J542" s="25"/>
      <c r="K542" s="25"/>
      <c r="L542" s="25"/>
      <c r="M542" s="25"/>
      <c r="N542" s="25"/>
      <c r="O542" s="25"/>
      <c r="P542" s="25"/>
      <c r="Q542" s="25"/>
      <c r="R542" s="25"/>
      <c r="S542" s="25"/>
      <c r="T542" s="25"/>
      <c r="U542" s="25"/>
      <c r="V542" s="25"/>
      <c r="W542" s="25"/>
      <c r="X542" s="25"/>
      <c r="Y542" s="25"/>
      <c r="AC542" s="2027" t="s">
        <v>625</v>
      </c>
      <c r="AD542" s="2028"/>
      <c r="AE542" s="2028"/>
      <c r="AF542" s="2028"/>
      <c r="AG542" s="75" t="s">
        <v>423</v>
      </c>
      <c r="AH542" s="2063"/>
      <c r="AI542" s="2063"/>
      <c r="AJ542" s="2063"/>
      <c r="AK542" s="206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0"/>
      <c r="C543" s="2021"/>
      <c r="D543" s="2021"/>
      <c r="E543" s="2021"/>
      <c r="F543" s="2021"/>
      <c r="G543" s="2021"/>
      <c r="H543" s="2022"/>
      <c r="I543" s="80" t="s">
        <v>442</v>
      </c>
      <c r="J543" s="80"/>
      <c r="K543" s="80"/>
      <c r="L543" s="80"/>
      <c r="M543" s="80"/>
      <c r="N543" s="80"/>
      <c r="O543" s="80"/>
      <c r="P543" s="80"/>
      <c r="Q543" s="80"/>
      <c r="R543" s="80"/>
      <c r="S543" s="80"/>
      <c r="T543" s="80"/>
      <c r="U543" s="80"/>
      <c r="V543" s="80"/>
      <c r="W543" s="80"/>
      <c r="X543" s="80"/>
      <c r="Y543" s="80"/>
      <c r="Z543" s="80"/>
      <c r="AA543" s="80"/>
      <c r="AB543" s="80"/>
      <c r="AC543" s="2027" t="s">
        <v>625</v>
      </c>
      <c r="AD543" s="2028"/>
      <c r="AE543" s="2028"/>
      <c r="AF543" s="2028"/>
      <c r="AG543" s="65" t="s">
        <v>423</v>
      </c>
      <c r="AH543" s="2063"/>
      <c r="AI543" s="2063"/>
      <c r="AJ543" s="2063"/>
      <c r="AK543" s="206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0"/>
      <c r="C544" s="2021"/>
      <c r="D544" s="2021"/>
      <c r="E544" s="2021"/>
      <c r="F544" s="2021"/>
      <c r="G544" s="2021"/>
      <c r="H544" s="2022"/>
      <c r="I544" s="72" t="s">
        <v>443</v>
      </c>
      <c r="J544" s="72"/>
      <c r="K544" s="72"/>
      <c r="L544" s="72"/>
      <c r="M544" s="72"/>
      <c r="N544" s="72"/>
      <c r="O544" s="2040" t="s">
        <v>342</v>
      </c>
      <c r="P544" s="2040"/>
      <c r="Q544" s="2040"/>
      <c r="R544" s="2040"/>
      <c r="S544" s="2040"/>
      <c r="T544" s="2040"/>
      <c r="U544" s="2040"/>
      <c r="V544" s="2040"/>
      <c r="W544" s="2040"/>
      <c r="X544" s="2040"/>
      <c r="Y544" s="2040"/>
      <c r="Z544" s="2040"/>
      <c r="AA544" s="2040"/>
      <c r="AC544" s="2027" t="s">
        <v>625</v>
      </c>
      <c r="AD544" s="2028"/>
      <c r="AE544" s="2028"/>
      <c r="AF544" s="2028"/>
      <c r="AG544" s="75" t="s">
        <v>423</v>
      </c>
      <c r="AH544" s="2063"/>
      <c r="AI544" s="2063"/>
      <c r="AJ544" s="2063"/>
      <c r="AK544" s="206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0"/>
      <c r="C545" s="2021"/>
      <c r="D545" s="2021"/>
      <c r="E545" s="2021"/>
      <c r="F545" s="2021"/>
      <c r="G545" s="2021"/>
      <c r="H545" s="2022"/>
      <c r="I545" s="25" t="s">
        <v>441</v>
      </c>
      <c r="J545" s="25"/>
      <c r="K545" s="25"/>
      <c r="L545" s="25"/>
      <c r="M545" s="25"/>
      <c r="N545" s="25"/>
      <c r="O545" s="25"/>
      <c r="P545" s="25"/>
      <c r="Q545" s="25"/>
      <c r="R545" s="25"/>
      <c r="S545" s="25"/>
      <c r="T545" s="25"/>
      <c r="U545" s="25"/>
      <c r="V545" s="25"/>
      <c r="W545" s="25"/>
      <c r="X545" s="25"/>
      <c r="Y545" s="25"/>
      <c r="AC545" s="2027" t="s">
        <v>625</v>
      </c>
      <c r="AD545" s="2028"/>
      <c r="AE545" s="2028"/>
      <c r="AF545" s="2028"/>
      <c r="AG545" s="65" t="s">
        <v>423</v>
      </c>
      <c r="AH545" s="2063"/>
      <c r="AI545" s="2063"/>
      <c r="AJ545" s="2063"/>
      <c r="AK545" s="206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0"/>
      <c r="C546" s="2021"/>
      <c r="D546" s="2021"/>
      <c r="E546" s="2021"/>
      <c r="F546" s="2021"/>
      <c r="G546" s="2021"/>
      <c r="H546" s="2022"/>
      <c r="I546" s="80" t="s">
        <v>442</v>
      </c>
      <c r="J546" s="80"/>
      <c r="K546" s="80"/>
      <c r="L546" s="80"/>
      <c r="M546" s="80"/>
      <c r="N546" s="80"/>
      <c r="O546" s="80"/>
      <c r="P546" s="80"/>
      <c r="Q546" s="80"/>
      <c r="R546" s="80"/>
      <c r="S546" s="80"/>
      <c r="T546" s="80"/>
      <c r="U546" s="80"/>
      <c r="V546" s="80"/>
      <c r="W546" s="80"/>
      <c r="X546" s="80"/>
      <c r="Y546" s="80"/>
      <c r="Z546" s="80"/>
      <c r="AA546" s="80"/>
      <c r="AB546" s="80"/>
      <c r="AC546" s="2027" t="s">
        <v>625</v>
      </c>
      <c r="AD546" s="2028"/>
      <c r="AE546" s="2028"/>
      <c r="AF546" s="2028"/>
      <c r="AG546" s="75" t="s">
        <v>423</v>
      </c>
      <c r="AH546" s="2063"/>
      <c r="AI546" s="2063"/>
      <c r="AJ546" s="2063"/>
      <c r="AK546" s="206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0"/>
      <c r="C547" s="2021"/>
      <c r="D547" s="2021"/>
      <c r="E547" s="2021"/>
      <c r="F547" s="2021"/>
      <c r="G547" s="2021"/>
      <c r="H547" s="2022"/>
      <c r="I547" s="72" t="s">
        <v>443</v>
      </c>
      <c r="J547" s="72"/>
      <c r="K547" s="72"/>
      <c r="L547" s="72"/>
      <c r="M547" s="72"/>
      <c r="N547" s="72"/>
      <c r="O547" s="2040" t="s">
        <v>342</v>
      </c>
      <c r="P547" s="2040"/>
      <c r="Q547" s="2040"/>
      <c r="R547" s="2040"/>
      <c r="S547" s="2040"/>
      <c r="T547" s="2040"/>
      <c r="U547" s="2040"/>
      <c r="V547" s="2040"/>
      <c r="W547" s="2040"/>
      <c r="X547" s="2040"/>
      <c r="Y547" s="2040"/>
      <c r="Z547" s="2040"/>
      <c r="AA547" s="2040"/>
      <c r="AC547" s="2027" t="s">
        <v>625</v>
      </c>
      <c r="AD547" s="2028"/>
      <c r="AE547" s="2028"/>
      <c r="AF547" s="2028"/>
      <c r="AG547" s="65" t="s">
        <v>423</v>
      </c>
      <c r="AH547" s="2063"/>
      <c r="AI547" s="2063"/>
      <c r="AJ547" s="2063"/>
      <c r="AK547" s="206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0"/>
      <c r="C548" s="2021"/>
      <c r="D548" s="2021"/>
      <c r="E548" s="2021"/>
      <c r="F548" s="2021"/>
      <c r="G548" s="2021"/>
      <c r="H548" s="2022"/>
      <c r="I548" s="25" t="s">
        <v>441</v>
      </c>
      <c r="J548" s="25"/>
      <c r="K548" s="25"/>
      <c r="L548" s="25"/>
      <c r="M548" s="25"/>
      <c r="N548" s="25"/>
      <c r="O548" s="25"/>
      <c r="P548" s="25"/>
      <c r="Q548" s="25"/>
      <c r="R548" s="25"/>
      <c r="S548" s="25"/>
      <c r="T548" s="25"/>
      <c r="U548" s="25"/>
      <c r="V548" s="25"/>
      <c r="W548" s="25"/>
      <c r="X548" s="25"/>
      <c r="Y548" s="25"/>
      <c r="AC548" s="2027" t="s">
        <v>625</v>
      </c>
      <c r="AD548" s="2028"/>
      <c r="AE548" s="2028"/>
      <c r="AF548" s="2028"/>
      <c r="AG548" s="75" t="s">
        <v>423</v>
      </c>
      <c r="AH548" s="2063"/>
      <c r="AI548" s="2063"/>
      <c r="AJ548" s="2063"/>
      <c r="AK548" s="206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0"/>
      <c r="C549" s="2021"/>
      <c r="D549" s="2021"/>
      <c r="E549" s="2021"/>
      <c r="F549" s="2021"/>
      <c r="G549" s="2021"/>
      <c r="H549" s="2022"/>
      <c r="I549" s="80" t="s">
        <v>442</v>
      </c>
      <c r="J549" s="80"/>
      <c r="K549" s="80"/>
      <c r="L549" s="80"/>
      <c r="M549" s="80"/>
      <c r="N549" s="80"/>
      <c r="O549" s="80"/>
      <c r="P549" s="80"/>
      <c r="Q549" s="80"/>
      <c r="R549" s="80"/>
      <c r="S549" s="80"/>
      <c r="T549" s="80"/>
      <c r="U549" s="80"/>
      <c r="V549" s="80"/>
      <c r="W549" s="80"/>
      <c r="X549" s="80"/>
      <c r="Y549" s="80"/>
      <c r="Z549" s="80"/>
      <c r="AA549" s="80"/>
      <c r="AB549" s="80"/>
      <c r="AC549" s="2027" t="s">
        <v>625</v>
      </c>
      <c r="AD549" s="2028"/>
      <c r="AE549" s="2028"/>
      <c r="AF549" s="2028"/>
      <c r="AG549" s="65" t="s">
        <v>423</v>
      </c>
      <c r="AH549" s="2063"/>
      <c r="AI549" s="2063"/>
      <c r="AJ549" s="2063"/>
      <c r="AK549" s="206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0"/>
      <c r="C550" s="2021"/>
      <c r="D550" s="2021"/>
      <c r="E550" s="2021"/>
      <c r="F550" s="2021"/>
      <c r="G550" s="2021"/>
      <c r="H550" s="2022"/>
      <c r="I550" s="72" t="s">
        <v>594</v>
      </c>
      <c r="J550" s="72"/>
      <c r="K550" s="72"/>
      <c r="L550" s="72"/>
      <c r="M550" s="72"/>
      <c r="N550" s="72"/>
      <c r="O550" s="72"/>
      <c r="P550" s="72"/>
      <c r="Q550" s="72"/>
      <c r="R550" s="72"/>
      <c r="S550" s="72"/>
      <c r="T550" s="72"/>
      <c r="U550" s="72"/>
      <c r="V550" s="72"/>
      <c r="W550" s="72"/>
      <c r="X550" s="25"/>
      <c r="Y550" s="25"/>
      <c r="AC550" s="2027">
        <v>2</v>
      </c>
      <c r="AD550" s="2028"/>
      <c r="AE550" s="2028"/>
      <c r="AF550" s="2028"/>
      <c r="AG550" s="65" t="s">
        <v>423</v>
      </c>
      <c r="AH550" s="2063">
        <v>2022</v>
      </c>
      <c r="AI550" s="2063"/>
      <c r="AJ550" s="2063"/>
      <c r="AK550" s="206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0"/>
      <c r="C551" s="2021"/>
      <c r="D551" s="2021"/>
      <c r="E551" s="2021"/>
      <c r="F551" s="2021"/>
      <c r="G551" s="2021"/>
      <c r="H551" s="2022"/>
      <c r="I551" s="25" t="s">
        <v>595</v>
      </c>
      <c r="J551" s="25"/>
      <c r="K551" s="25"/>
      <c r="L551" s="25"/>
      <c r="M551" s="25"/>
      <c r="N551" s="25"/>
      <c r="O551" s="25"/>
      <c r="P551" s="25"/>
      <c r="Q551" s="25"/>
      <c r="R551" s="25"/>
      <c r="S551" s="25"/>
      <c r="T551" s="25"/>
      <c r="U551" s="25"/>
      <c r="V551" s="25"/>
      <c r="W551" s="25"/>
      <c r="X551" s="25"/>
      <c r="Y551" s="25"/>
      <c r="AC551" s="2027">
        <v>2</v>
      </c>
      <c r="AD551" s="2028"/>
      <c r="AE551" s="2028"/>
      <c r="AF551" s="2028"/>
      <c r="AG551" s="75" t="s">
        <v>423</v>
      </c>
      <c r="AH551" s="2063">
        <v>2022</v>
      </c>
      <c r="AI551" s="2063"/>
      <c r="AJ551" s="2063"/>
      <c r="AK551" s="206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0"/>
      <c r="C552" s="2021"/>
      <c r="D552" s="2021"/>
      <c r="E552" s="2021"/>
      <c r="F552" s="2021"/>
      <c r="G552" s="2021"/>
      <c r="H552" s="2022"/>
      <c r="I552" s="25" t="s">
        <v>596</v>
      </c>
      <c r="J552" s="25"/>
      <c r="K552" s="25"/>
      <c r="L552" s="25"/>
      <c r="M552" s="25"/>
      <c r="N552" s="25"/>
      <c r="O552" s="25"/>
      <c r="P552" s="25"/>
      <c r="Q552" s="25"/>
      <c r="R552" s="25"/>
      <c r="S552" s="25"/>
      <c r="T552" s="25"/>
      <c r="U552" s="25"/>
      <c r="V552" s="25"/>
      <c r="W552" s="25"/>
      <c r="X552" s="25"/>
      <c r="Y552" s="25"/>
      <c r="AC552" s="2027">
        <v>7</v>
      </c>
      <c r="AD552" s="2028"/>
      <c r="AE552" s="2028"/>
      <c r="AF552" s="2028"/>
      <c r="AG552" s="65" t="s">
        <v>423</v>
      </c>
      <c r="AH552" s="2063">
        <v>2023</v>
      </c>
      <c r="AI552" s="2063"/>
      <c r="AJ552" s="2063"/>
      <c r="AK552" s="206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0"/>
      <c r="C553" s="2021"/>
      <c r="D553" s="2021"/>
      <c r="E553" s="2021"/>
      <c r="F553" s="2021"/>
      <c r="G553" s="2021"/>
      <c r="H553" s="2022"/>
      <c r="I553" s="25" t="s">
        <v>597</v>
      </c>
      <c r="J553" s="25"/>
      <c r="K553" s="25"/>
      <c r="L553" s="25"/>
      <c r="M553" s="25"/>
      <c r="N553" s="25"/>
      <c r="O553" s="25"/>
      <c r="P553" s="25"/>
      <c r="Q553" s="25"/>
      <c r="R553" s="25"/>
      <c r="S553" s="25"/>
      <c r="T553" s="25"/>
      <c r="U553" s="25"/>
      <c r="V553" s="25"/>
      <c r="W553" s="25"/>
      <c r="X553" s="25"/>
      <c r="Y553" s="25"/>
      <c r="AC553" s="2027">
        <v>8</v>
      </c>
      <c r="AD553" s="2028"/>
      <c r="AE553" s="2028"/>
      <c r="AF553" s="2028"/>
      <c r="AG553" s="65" t="s">
        <v>423</v>
      </c>
      <c r="AH553" s="2063">
        <v>2023</v>
      </c>
      <c r="AI553" s="2063"/>
      <c r="AJ553" s="2063"/>
      <c r="AK553" s="206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2"/>
      <c r="C554" s="2183"/>
      <c r="D554" s="2183"/>
      <c r="E554" s="2183"/>
      <c r="F554" s="2183"/>
      <c r="G554" s="2183"/>
      <c r="H554" s="2184"/>
      <c r="I554" s="80" t="s">
        <v>481</v>
      </c>
      <c r="J554" s="80"/>
      <c r="K554" s="80"/>
      <c r="L554" s="80"/>
      <c r="M554" s="80"/>
      <c r="N554" s="80"/>
      <c r="O554" s="80"/>
      <c r="P554" s="80"/>
      <c r="Q554" s="80"/>
      <c r="R554" s="80"/>
      <c r="S554" s="80"/>
      <c r="T554" s="80"/>
      <c r="U554" s="80"/>
      <c r="V554" s="80"/>
      <c r="W554" s="80"/>
      <c r="X554" s="80"/>
      <c r="Y554" s="80"/>
      <c r="Z554" s="80"/>
      <c r="AA554" s="80"/>
      <c r="AB554" s="80"/>
      <c r="AC554" s="2027">
        <v>11</v>
      </c>
      <c r="AD554" s="2028"/>
      <c r="AE554" s="2028"/>
      <c r="AF554" s="2028"/>
      <c r="AG554" s="65" t="s">
        <v>423</v>
      </c>
      <c r="AH554" s="2063">
        <v>2023</v>
      </c>
      <c r="AI554" s="2063"/>
      <c r="AJ554" s="2063"/>
      <c r="AK554" s="206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4" t="s">
        <v>575</v>
      </c>
      <c r="B556" s="1874"/>
      <c r="C556" s="1874"/>
      <c r="D556" s="1874"/>
      <c r="E556" s="1874"/>
      <c r="F556" s="1874"/>
      <c r="G556" s="1874"/>
      <c r="H556" s="1874"/>
      <c r="I556" s="1874"/>
      <c r="J556" s="1874"/>
      <c r="K556" s="1874"/>
      <c r="L556" s="1874"/>
      <c r="M556" s="1874"/>
      <c r="N556" s="1874"/>
      <c r="O556" s="1874"/>
      <c r="P556" s="1874"/>
      <c r="Q556" s="1874"/>
      <c r="R556" s="1874"/>
      <c r="S556" s="1874"/>
      <c r="T556" s="1874"/>
      <c r="U556" s="1874"/>
      <c r="V556" s="1874"/>
      <c r="W556" s="1874"/>
      <c r="X556" s="1874"/>
      <c r="Y556" s="1874"/>
      <c r="Z556" s="1874"/>
      <c r="AA556" s="1874"/>
      <c r="AB556" s="1874"/>
      <c r="AC556" s="1874"/>
      <c r="AD556" s="1874"/>
      <c r="AE556" s="1874"/>
      <c r="AF556" s="1874"/>
      <c r="AG556" s="1874"/>
      <c r="AH556" s="1874"/>
      <c r="AI556" s="1874"/>
      <c r="AJ556" s="1874"/>
      <c r="AK556" s="1874"/>
      <c r="AL556" s="1874"/>
      <c r="AM556" s="1874"/>
      <c r="AN556" s="1874"/>
      <c r="AO556" s="1874"/>
      <c r="AP556" s="1874"/>
      <c r="AQ556" s="1874"/>
      <c r="AR556" s="1874"/>
      <c r="AS556" s="1874"/>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4"/>
      <c r="B557" s="1874"/>
      <c r="C557" s="1874"/>
      <c r="D557" s="1874"/>
      <c r="E557" s="1874"/>
      <c r="F557" s="1874"/>
      <c r="G557" s="1874"/>
      <c r="H557" s="1874"/>
      <c r="I557" s="1874"/>
      <c r="J557" s="1874"/>
      <c r="K557" s="1874"/>
      <c r="L557" s="1874"/>
      <c r="M557" s="1874"/>
      <c r="N557" s="1874"/>
      <c r="O557" s="1874"/>
      <c r="P557" s="1874"/>
      <c r="Q557" s="1874"/>
      <c r="R557" s="1874"/>
      <c r="S557" s="1874"/>
      <c r="T557" s="1874"/>
      <c r="U557" s="1874"/>
      <c r="V557" s="1874"/>
      <c r="W557" s="1874"/>
      <c r="X557" s="1874"/>
      <c r="Y557" s="1874"/>
      <c r="Z557" s="1874"/>
      <c r="AA557" s="1874"/>
      <c r="AB557" s="1874"/>
      <c r="AC557" s="1874"/>
      <c r="AD557" s="1874"/>
      <c r="AE557" s="1874"/>
      <c r="AF557" s="1874"/>
      <c r="AG557" s="1874"/>
      <c r="AH557" s="1874"/>
      <c r="AI557" s="1874"/>
      <c r="AJ557" s="1874"/>
      <c r="AK557" s="1874"/>
      <c r="AL557" s="1874"/>
      <c r="AM557" s="1874"/>
      <c r="AN557" s="1874"/>
      <c r="AO557" s="1874"/>
      <c r="AP557" s="1874"/>
      <c r="AQ557" s="1874"/>
      <c r="AR557" s="1874"/>
      <c r="AS557" s="1874"/>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9" t="s">
        <v>483</v>
      </c>
      <c r="C563" s="2193"/>
      <c r="D563" s="2193"/>
      <c r="E563" s="2193"/>
      <c r="F563" s="2193"/>
      <c r="G563" s="2193"/>
      <c r="H563" s="2193"/>
      <c r="I563" s="2193"/>
      <c r="J563" s="2193"/>
      <c r="K563" s="2193"/>
      <c r="L563" s="2193"/>
      <c r="M563" s="2193"/>
      <c r="N563" s="2193"/>
      <c r="O563" s="2193"/>
      <c r="P563" s="2194"/>
      <c r="Q563" s="2179" t="s">
        <v>2376</v>
      </c>
      <c r="R563" s="2180"/>
      <c r="S563" s="2181"/>
      <c r="T563" s="2179" t="s">
        <v>2374</v>
      </c>
      <c r="U563" s="2180"/>
      <c r="V563" s="2181"/>
      <c r="W563" s="2179" t="s">
        <v>484</v>
      </c>
      <c r="X563" s="2180"/>
      <c r="Y563" s="2181"/>
      <c r="Z563" s="2179" t="s">
        <v>2375</v>
      </c>
      <c r="AA563" s="2180"/>
      <c r="AB563" s="2180"/>
      <c r="AC563" s="2180"/>
      <c r="AD563" s="2180"/>
      <c r="AE563" s="2179" t="s">
        <v>2148</v>
      </c>
      <c r="AF563" s="2180"/>
      <c r="AG563" s="2180"/>
      <c r="AH563" s="2181"/>
      <c r="AI563" s="2179" t="s">
        <v>2149</v>
      </c>
      <c r="AJ563" s="2180"/>
      <c r="AK563" s="2180"/>
      <c r="AL563" s="2181"/>
      <c r="AM563" s="2179" t="s">
        <v>485</v>
      </c>
      <c r="AN563" s="2180"/>
      <c r="AO563" s="2180"/>
      <c r="AP563" s="2180"/>
      <c r="AQ563" s="2180"/>
      <c r="AR563" s="2180"/>
      <c r="AS563" s="218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7" t="s">
        <v>2641</v>
      </c>
      <c r="D564" s="2177"/>
      <c r="E564" s="2177"/>
      <c r="F564" s="2177"/>
      <c r="G564" s="2177"/>
      <c r="H564" s="2177"/>
      <c r="I564" s="2177"/>
      <c r="J564" s="2177"/>
      <c r="K564" s="2177"/>
      <c r="L564" s="2177"/>
      <c r="M564" s="2177"/>
      <c r="N564" s="2177"/>
      <c r="O564" s="2177"/>
      <c r="P564" s="2178"/>
      <c r="Q564" s="2166">
        <v>27</v>
      </c>
      <c r="R564" s="2166"/>
      <c r="S564" s="2167"/>
      <c r="T564" s="2165"/>
      <c r="U564" s="2166"/>
      <c r="V564" s="2167"/>
      <c r="W564" s="2170">
        <v>3.7499999999999999E-2</v>
      </c>
      <c r="X564" s="2171"/>
      <c r="Y564" s="2172"/>
      <c r="Z564" s="2057" t="s">
        <v>2637</v>
      </c>
      <c r="AA564" s="2057"/>
      <c r="AB564" s="2057"/>
      <c r="AC564" s="2057"/>
      <c r="AD564" s="2057"/>
      <c r="AE564" s="2050">
        <v>1</v>
      </c>
      <c r="AF564" s="2051"/>
      <c r="AG564" s="2051"/>
      <c r="AH564" s="2052"/>
      <c r="AI564" s="2059" t="s">
        <v>2687</v>
      </c>
      <c r="AJ564" s="2060"/>
      <c r="AK564" s="2060"/>
      <c r="AL564" s="2061"/>
      <c r="AM564" s="2023">
        <v>19041460</v>
      </c>
      <c r="AN564" s="2024"/>
      <c r="AO564" s="2024"/>
      <c r="AP564" s="2024"/>
      <c r="AQ564" s="2024"/>
      <c r="AR564" s="2024"/>
      <c r="AS564" s="2025"/>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7" t="s">
        <v>2642</v>
      </c>
      <c r="D565" s="2177"/>
      <c r="E565" s="2177"/>
      <c r="F565" s="2177"/>
      <c r="G565" s="2177"/>
      <c r="H565" s="2177"/>
      <c r="I565" s="2177"/>
      <c r="J565" s="2177"/>
      <c r="K565" s="2177"/>
      <c r="L565" s="2177"/>
      <c r="M565" s="2177"/>
      <c r="N565" s="2177"/>
      <c r="O565" s="2177"/>
      <c r="P565" s="2178"/>
      <c r="Q565" s="2166">
        <v>27</v>
      </c>
      <c r="R565" s="2166"/>
      <c r="S565" s="2167"/>
      <c r="T565" s="2165"/>
      <c r="U565" s="2166"/>
      <c r="V565" s="2167"/>
      <c r="W565" s="2170">
        <v>3.95E-2</v>
      </c>
      <c r="X565" s="2171"/>
      <c r="Y565" s="2172"/>
      <c r="Z565" s="2057" t="s">
        <v>2637</v>
      </c>
      <c r="AA565" s="2057"/>
      <c r="AB565" s="2057"/>
      <c r="AC565" s="2057"/>
      <c r="AD565" s="2057"/>
      <c r="AE565" s="2050">
        <v>2</v>
      </c>
      <c r="AF565" s="2051"/>
      <c r="AG565" s="2051"/>
      <c r="AH565" s="2052"/>
      <c r="AI565" s="2059" t="s">
        <v>2687</v>
      </c>
      <c r="AJ565" s="2060"/>
      <c r="AK565" s="2060"/>
      <c r="AL565" s="2061"/>
      <c r="AM565" s="2023">
        <v>8595761</v>
      </c>
      <c r="AN565" s="2024"/>
      <c r="AO565" s="2024"/>
      <c r="AP565" s="2024"/>
      <c r="AQ565" s="2024"/>
      <c r="AR565" s="2024"/>
      <c r="AS565" s="20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7" t="s">
        <v>2609</v>
      </c>
      <c r="D566" s="2177"/>
      <c r="E566" s="2177"/>
      <c r="F566" s="2177"/>
      <c r="G566" s="2177"/>
      <c r="H566" s="2177"/>
      <c r="I566" s="2177"/>
      <c r="J566" s="2177"/>
      <c r="K566" s="2177"/>
      <c r="L566" s="2177"/>
      <c r="M566" s="2177"/>
      <c r="N566" s="2177"/>
      <c r="O566" s="2177"/>
      <c r="P566" s="2178"/>
      <c r="Q566" s="2166">
        <v>27</v>
      </c>
      <c r="R566" s="2166"/>
      <c r="S566" s="2167"/>
      <c r="T566" s="2165"/>
      <c r="U566" s="2166"/>
      <c r="V566" s="2167"/>
      <c r="W566" s="2170"/>
      <c r="X566" s="2171"/>
      <c r="Y566" s="2172"/>
      <c r="Z566" s="2057" t="s">
        <v>2636</v>
      </c>
      <c r="AA566" s="2057"/>
      <c r="AB566" s="2057"/>
      <c r="AC566" s="2057"/>
      <c r="AD566" s="2057"/>
      <c r="AE566" s="2050">
        <v>4</v>
      </c>
      <c r="AF566" s="2051"/>
      <c r="AG566" s="2051"/>
      <c r="AH566" s="2052"/>
      <c r="AI566" s="2059"/>
      <c r="AJ566" s="2060"/>
      <c r="AK566" s="2060"/>
      <c r="AL566" s="2061"/>
      <c r="AM566" s="2023">
        <v>3235000</v>
      </c>
      <c r="AN566" s="2024"/>
      <c r="AO566" s="2024"/>
      <c r="AP566" s="2024"/>
      <c r="AQ566" s="2024"/>
      <c r="AR566" s="2024"/>
      <c r="AS566" s="20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77" t="s">
        <v>2520</v>
      </c>
      <c r="D567" s="2177"/>
      <c r="E567" s="2177"/>
      <c r="F567" s="2177"/>
      <c r="G567" s="2177"/>
      <c r="H567" s="2177"/>
      <c r="I567" s="2177"/>
      <c r="J567" s="2177"/>
      <c r="K567" s="2177"/>
      <c r="L567" s="2177"/>
      <c r="M567" s="2177"/>
      <c r="N567" s="2177"/>
      <c r="O567" s="2177"/>
      <c r="P567" s="2178"/>
      <c r="Q567" s="2165">
        <v>27</v>
      </c>
      <c r="R567" s="2166"/>
      <c r="S567" s="2167"/>
      <c r="T567" s="2165"/>
      <c r="U567" s="2166"/>
      <c r="V567" s="2167"/>
      <c r="W567" s="2170">
        <v>0.03</v>
      </c>
      <c r="X567" s="2171"/>
      <c r="Y567" s="2172"/>
      <c r="Z567" s="2057" t="s">
        <v>2636</v>
      </c>
      <c r="AA567" s="2057"/>
      <c r="AB567" s="2057"/>
      <c r="AC567" s="2057"/>
      <c r="AD567" s="2057"/>
      <c r="AE567" s="2050">
        <v>3</v>
      </c>
      <c r="AF567" s="2051"/>
      <c r="AG567" s="2051"/>
      <c r="AH567" s="2052"/>
      <c r="AI567" s="2059"/>
      <c r="AJ567" s="2060"/>
      <c r="AK567" s="2060"/>
      <c r="AL567" s="2061"/>
      <c r="AM567" s="2023">
        <v>4000000</v>
      </c>
      <c r="AN567" s="2024"/>
      <c r="AO567" s="2024"/>
      <c r="AP567" s="2024"/>
      <c r="AQ567" s="2024"/>
      <c r="AR567" s="2024"/>
      <c r="AS567" s="20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77" t="s">
        <v>2618</v>
      </c>
      <c r="D568" s="2177"/>
      <c r="E568" s="2177"/>
      <c r="F568" s="2177"/>
      <c r="G568" s="2177"/>
      <c r="H568" s="2177"/>
      <c r="I568" s="2177"/>
      <c r="J568" s="2177"/>
      <c r="K568" s="2177"/>
      <c r="L568" s="2177"/>
      <c r="M568" s="2177"/>
      <c r="N568" s="2177"/>
      <c r="O568" s="2177"/>
      <c r="P568" s="2178"/>
      <c r="Q568" s="2165" t="s">
        <v>625</v>
      </c>
      <c r="R568" s="2166"/>
      <c r="S568" s="2167"/>
      <c r="T568" s="2165"/>
      <c r="U568" s="2166"/>
      <c r="V568" s="2167"/>
      <c r="W568" s="2170"/>
      <c r="X568" s="2171"/>
      <c r="Y568" s="2172"/>
      <c r="Z568" s="2057" t="s">
        <v>625</v>
      </c>
      <c r="AA568" s="2057"/>
      <c r="AB568" s="2057"/>
      <c r="AC568" s="2057"/>
      <c r="AD568" s="2057"/>
      <c r="AE568" s="2050"/>
      <c r="AF568" s="2051"/>
      <c r="AG568" s="2051"/>
      <c r="AH568" s="2052"/>
      <c r="AI568" s="2059"/>
      <c r="AJ568" s="2060"/>
      <c r="AK568" s="2060"/>
      <c r="AL568" s="2061"/>
      <c r="AM568" s="2023">
        <v>95207</v>
      </c>
      <c r="AN568" s="2024"/>
      <c r="AO568" s="2024"/>
      <c r="AP568" s="2024"/>
      <c r="AQ568" s="2024"/>
      <c r="AR568" s="2024"/>
      <c r="AS568" s="20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77" t="s">
        <v>2619</v>
      </c>
      <c r="D569" s="2177"/>
      <c r="E569" s="2177"/>
      <c r="F569" s="2177"/>
      <c r="G569" s="2177"/>
      <c r="H569" s="2177"/>
      <c r="I569" s="2177"/>
      <c r="J569" s="2177"/>
      <c r="K569" s="2177"/>
      <c r="L569" s="2177"/>
      <c r="M569" s="2177"/>
      <c r="N569" s="2177"/>
      <c r="O569" s="2177"/>
      <c r="P569" s="2178"/>
      <c r="Q569" s="2165">
        <v>27</v>
      </c>
      <c r="R569" s="2166"/>
      <c r="S569" s="2167"/>
      <c r="T569" s="2165"/>
      <c r="U569" s="2166"/>
      <c r="V569" s="2167"/>
      <c r="W569" s="2170"/>
      <c r="X569" s="2171"/>
      <c r="Y569" s="2172"/>
      <c r="Z569" s="2057" t="s">
        <v>625</v>
      </c>
      <c r="AA569" s="2057"/>
      <c r="AB569" s="2057"/>
      <c r="AC569" s="2057"/>
      <c r="AD569" s="2057"/>
      <c r="AE569" s="2050"/>
      <c r="AF569" s="2051"/>
      <c r="AG569" s="2051"/>
      <c r="AH569" s="2052"/>
      <c r="AI569" s="2059"/>
      <c r="AJ569" s="2060"/>
      <c r="AK569" s="2060"/>
      <c r="AL569" s="2061"/>
      <c r="AM569" s="2023">
        <v>959522</v>
      </c>
      <c r="AN569" s="2024"/>
      <c r="AO569" s="2024"/>
      <c r="AP569" s="2024"/>
      <c r="AQ569" s="2024"/>
      <c r="AR569" s="2024"/>
      <c r="AS569" s="20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1859" t="s">
        <v>2620</v>
      </c>
      <c r="D570" s="1859"/>
      <c r="E570" s="1859"/>
      <c r="F570" s="1859"/>
      <c r="G570" s="1859"/>
      <c r="H570" s="1859"/>
      <c r="I570" s="1859"/>
      <c r="J570" s="1859"/>
      <c r="K570" s="1859"/>
      <c r="L570" s="1859"/>
      <c r="M570" s="1859"/>
      <c r="N570" s="1859"/>
      <c r="O570" s="1859"/>
      <c r="P570" s="1860"/>
      <c r="Q570" s="2165"/>
      <c r="R570" s="2166"/>
      <c r="S570" s="2167"/>
      <c r="T570" s="2165"/>
      <c r="U570" s="2166"/>
      <c r="V570" s="2167"/>
      <c r="W570" s="2170"/>
      <c r="X570" s="2171"/>
      <c r="Y570" s="2172"/>
      <c r="Z570" s="2057" t="s">
        <v>625</v>
      </c>
      <c r="AA570" s="2057"/>
      <c r="AB570" s="2057"/>
      <c r="AC570" s="2057"/>
      <c r="AD570" s="2057"/>
      <c r="AE570" s="2050"/>
      <c r="AF570" s="2051"/>
      <c r="AG570" s="2051"/>
      <c r="AH570" s="2052"/>
      <c r="AI570" s="2059"/>
      <c r="AJ570" s="2060"/>
      <c r="AK570" s="2060"/>
      <c r="AL570" s="2061"/>
      <c r="AM570" s="2023">
        <v>2962197</v>
      </c>
      <c r="AN570" s="2024"/>
      <c r="AO570" s="2024"/>
      <c r="AP570" s="2024"/>
      <c r="AQ570" s="2024"/>
      <c r="AR570" s="2024"/>
      <c r="AS570" s="20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1859" t="s">
        <v>2621</v>
      </c>
      <c r="D571" s="1859"/>
      <c r="E571" s="1859"/>
      <c r="F571" s="1859"/>
      <c r="G571" s="1859"/>
      <c r="H571" s="1859"/>
      <c r="I571" s="1859"/>
      <c r="J571" s="1859"/>
      <c r="K571" s="1859"/>
      <c r="L571" s="1859"/>
      <c r="M571" s="1859"/>
      <c r="N571" s="1859"/>
      <c r="O571" s="1859"/>
      <c r="P571" s="1860"/>
      <c r="Q571" s="2165"/>
      <c r="R571" s="2166"/>
      <c r="S571" s="2167"/>
      <c r="T571" s="2165"/>
      <c r="U571" s="2166"/>
      <c r="V571" s="2167"/>
      <c r="W571" s="2170"/>
      <c r="X571" s="2171"/>
      <c r="Y571" s="2172"/>
      <c r="Z571" s="2057" t="s">
        <v>625</v>
      </c>
      <c r="AA571" s="2057"/>
      <c r="AB571" s="2057"/>
      <c r="AC571" s="2057"/>
      <c r="AD571" s="2057"/>
      <c r="AE571" s="2050"/>
      <c r="AF571" s="2051"/>
      <c r="AG571" s="2051"/>
      <c r="AH571" s="2052"/>
      <c r="AI571" s="2059"/>
      <c r="AJ571" s="2060"/>
      <c r="AK571" s="2060"/>
      <c r="AL571" s="2061"/>
      <c r="AM571" s="2023">
        <v>100</v>
      </c>
      <c r="AN571" s="2024"/>
      <c r="AO571" s="2024"/>
      <c r="AP571" s="2024"/>
      <c r="AQ571" s="2024"/>
      <c r="AR571" s="2024"/>
      <c r="AS571" s="2025"/>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1857"/>
      <c r="D572" s="1857"/>
      <c r="E572" s="1857"/>
      <c r="F572" s="1857"/>
      <c r="G572" s="1857"/>
      <c r="H572" s="1857"/>
      <c r="I572" s="1857"/>
      <c r="J572" s="1857"/>
      <c r="K572" s="1857"/>
      <c r="L572" s="1857"/>
      <c r="M572" s="1857"/>
      <c r="N572" s="1857"/>
      <c r="O572" s="1857"/>
      <c r="P572" s="1858"/>
      <c r="Q572" s="2165"/>
      <c r="R572" s="2166"/>
      <c r="S572" s="2167"/>
      <c r="T572" s="2165"/>
      <c r="U572" s="2166"/>
      <c r="V572" s="2167"/>
      <c r="W572" s="2170"/>
      <c r="X572" s="2171"/>
      <c r="Y572" s="2172"/>
      <c r="Z572" s="2057" t="s">
        <v>1382</v>
      </c>
      <c r="AA572" s="2057"/>
      <c r="AB572" s="2057"/>
      <c r="AC572" s="2057"/>
      <c r="AD572" s="2057"/>
      <c r="AE572" s="2050"/>
      <c r="AF572" s="2051"/>
      <c r="AG572" s="2051"/>
      <c r="AH572" s="2052"/>
      <c r="AI572" s="2059"/>
      <c r="AJ572" s="2060"/>
      <c r="AK572" s="2060"/>
      <c r="AL572" s="2061"/>
      <c r="AM572" s="2023"/>
      <c r="AN572" s="2024"/>
      <c r="AO572" s="2024"/>
      <c r="AP572" s="2024"/>
      <c r="AQ572" s="2024"/>
      <c r="AR572" s="2024"/>
      <c r="AS572" s="2025"/>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77"/>
      <c r="D573" s="2177"/>
      <c r="E573" s="2177"/>
      <c r="F573" s="2177"/>
      <c r="G573" s="2177"/>
      <c r="H573" s="2177"/>
      <c r="I573" s="2177"/>
      <c r="J573" s="2177"/>
      <c r="K573" s="2177"/>
      <c r="L573" s="2177"/>
      <c r="M573" s="2177"/>
      <c r="N573" s="2177"/>
      <c r="O573" s="2177"/>
      <c r="P573" s="2178"/>
      <c r="Q573" s="2165"/>
      <c r="R573" s="2166"/>
      <c r="S573" s="2167"/>
      <c r="T573" s="2165"/>
      <c r="U573" s="2166"/>
      <c r="V573" s="2167"/>
      <c r="W573" s="2170"/>
      <c r="X573" s="2171"/>
      <c r="Y573" s="2172"/>
      <c r="Z573" s="2057" t="s">
        <v>1382</v>
      </c>
      <c r="AA573" s="2057"/>
      <c r="AB573" s="2057"/>
      <c r="AC573" s="2057"/>
      <c r="AD573" s="2057"/>
      <c r="AE573" s="2050"/>
      <c r="AF573" s="2051"/>
      <c r="AG573" s="2051"/>
      <c r="AH573" s="2052"/>
      <c r="AI573" s="2059"/>
      <c r="AJ573" s="2060"/>
      <c r="AK573" s="2060"/>
      <c r="AL573" s="2061"/>
      <c r="AM573" s="2023"/>
      <c r="AN573" s="2024"/>
      <c r="AO573" s="2024"/>
      <c r="AP573" s="2024"/>
      <c r="AQ573" s="2024"/>
      <c r="AR573" s="2024"/>
      <c r="AS573" s="20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177"/>
      <c r="D574" s="2177"/>
      <c r="E574" s="2177"/>
      <c r="F574" s="2177"/>
      <c r="G574" s="2177"/>
      <c r="H574" s="2177"/>
      <c r="I574" s="2177"/>
      <c r="J574" s="2177"/>
      <c r="K574" s="2177"/>
      <c r="L574" s="2177"/>
      <c r="M574" s="2177"/>
      <c r="N574" s="2177"/>
      <c r="O574" s="2177"/>
      <c r="P574" s="2178"/>
      <c r="Q574" s="2165"/>
      <c r="R574" s="2166"/>
      <c r="S574" s="2167"/>
      <c r="T574" s="2165"/>
      <c r="U574" s="2166"/>
      <c r="V574" s="2167"/>
      <c r="W574" s="2170"/>
      <c r="X574" s="2171"/>
      <c r="Y574" s="2172"/>
      <c r="Z574" s="2057" t="s">
        <v>1382</v>
      </c>
      <c r="AA574" s="2057"/>
      <c r="AB574" s="2057"/>
      <c r="AC574" s="2057"/>
      <c r="AD574" s="2057"/>
      <c r="AE574" s="2050"/>
      <c r="AF574" s="2051"/>
      <c r="AG574" s="2051"/>
      <c r="AH574" s="2052"/>
      <c r="AI574" s="2059"/>
      <c r="AJ574" s="2060"/>
      <c r="AK574" s="2060"/>
      <c r="AL574" s="2061"/>
      <c r="AM574" s="2023"/>
      <c r="AN574" s="2024"/>
      <c r="AO574" s="2024"/>
      <c r="AP574" s="2024"/>
      <c r="AQ574" s="2024"/>
      <c r="AR574" s="2024"/>
      <c r="AS574" s="20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177"/>
      <c r="D575" s="2177"/>
      <c r="E575" s="2177"/>
      <c r="F575" s="2177"/>
      <c r="G575" s="2177"/>
      <c r="H575" s="2177"/>
      <c r="I575" s="2177"/>
      <c r="J575" s="2177"/>
      <c r="K575" s="2177"/>
      <c r="L575" s="2177"/>
      <c r="M575" s="2177"/>
      <c r="N575" s="2177"/>
      <c r="O575" s="2177"/>
      <c r="P575" s="2178"/>
      <c r="Q575" s="2165"/>
      <c r="R575" s="2166"/>
      <c r="S575" s="2167"/>
      <c r="T575" s="2165"/>
      <c r="U575" s="2166"/>
      <c r="V575" s="2167"/>
      <c r="W575" s="2170"/>
      <c r="X575" s="2171"/>
      <c r="Y575" s="2172"/>
      <c r="Z575" s="2057" t="s">
        <v>1382</v>
      </c>
      <c r="AA575" s="2057"/>
      <c r="AB575" s="2057"/>
      <c r="AC575" s="2057"/>
      <c r="AD575" s="2057"/>
      <c r="AE575" s="2050"/>
      <c r="AF575" s="2051"/>
      <c r="AG575" s="2051"/>
      <c r="AH575" s="2052"/>
      <c r="AI575" s="2059"/>
      <c r="AJ575" s="2060"/>
      <c r="AK575" s="2060"/>
      <c r="AL575" s="2061"/>
      <c r="AM575" s="2023"/>
      <c r="AN575" s="2024"/>
      <c r="AO575" s="2024"/>
      <c r="AP575" s="2024"/>
      <c r="AQ575" s="2024"/>
      <c r="AR575" s="2024"/>
      <c r="AS575" s="20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8" t="s">
        <v>132</v>
      </c>
      <c r="C576" s="2189"/>
      <c r="D576" s="2189"/>
      <c r="E576" s="2189"/>
      <c r="F576" s="2189"/>
      <c r="G576" s="2189"/>
      <c r="H576" s="2189"/>
      <c r="I576" s="2189"/>
      <c r="J576" s="2189"/>
      <c r="K576" s="2189"/>
      <c r="L576" s="2189"/>
      <c r="M576" s="2189"/>
      <c r="N576" s="2189"/>
      <c r="O576" s="2189"/>
      <c r="P576" s="2189"/>
      <c r="Q576" s="2189"/>
      <c r="R576" s="2189"/>
      <c r="S576" s="2189"/>
      <c r="T576" s="2189"/>
      <c r="U576" s="2190"/>
      <c r="V576" s="2189"/>
      <c r="W576" s="2189"/>
      <c r="X576" s="2189"/>
      <c r="Y576" s="2189"/>
      <c r="Z576" s="2189"/>
      <c r="AA576" s="2189"/>
      <c r="AB576" s="2189"/>
      <c r="AC576" s="2189"/>
      <c r="AD576" s="2189"/>
      <c r="AE576" s="2189"/>
      <c r="AF576" s="2189"/>
      <c r="AG576" s="2189"/>
      <c r="AH576" s="2189"/>
      <c r="AI576" s="2189"/>
      <c r="AJ576" s="2189"/>
      <c r="AK576" s="2189"/>
      <c r="AL576" s="2191"/>
      <c r="AM576" s="2148">
        <f>SUM(AM564:AS575)</f>
        <v>38889247</v>
      </c>
      <c r="AN576" s="2149"/>
      <c r="AO576" s="2149"/>
      <c r="AP576" s="2149"/>
      <c r="AQ576" s="2149"/>
      <c r="AR576" s="2149"/>
      <c r="AS576" s="215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42" t="str">
        <f>C564</f>
        <v>Wells Fargo Tax-Exempt Construction Loan</v>
      </c>
      <c r="H578" s="2042"/>
      <c r="I578" s="2042"/>
      <c r="J578" s="2042"/>
      <c r="K578" s="2042"/>
      <c r="L578" s="2042"/>
      <c r="M578" s="2042"/>
      <c r="N578" s="2042"/>
      <c r="O578" s="2042"/>
      <c r="P578" s="2042"/>
      <c r="Q578" s="2042"/>
      <c r="R578" s="2042"/>
      <c r="S578" s="14"/>
      <c r="T578" s="87" t="s">
        <v>118</v>
      </c>
      <c r="U578" s="12" t="s">
        <v>495</v>
      </c>
      <c r="Z578" s="2042" t="str">
        <f>C565</f>
        <v>Wells Fargo Taxable Construction Loan</v>
      </c>
      <c r="AA578" s="2042"/>
      <c r="AB578" s="2042"/>
      <c r="AC578" s="2042"/>
      <c r="AD578" s="2042"/>
      <c r="AE578" s="2042"/>
      <c r="AF578" s="2042"/>
      <c r="AG578" s="2042"/>
      <c r="AH578" s="2042"/>
      <c r="AI578" s="2042"/>
      <c r="AJ578" s="2042"/>
      <c r="AK578" s="204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0" t="s">
        <v>2638</v>
      </c>
      <c r="H579" s="2040"/>
      <c r="I579" s="2040"/>
      <c r="J579" s="2040"/>
      <c r="K579" s="2040"/>
      <c r="L579" s="2040"/>
      <c r="M579" s="2040"/>
      <c r="N579" s="2040"/>
      <c r="O579" s="2040"/>
      <c r="P579" s="2040"/>
      <c r="Q579" s="2040"/>
      <c r="R579" s="2040"/>
      <c r="S579" s="14"/>
      <c r="T579" s="35"/>
      <c r="U579" s="12" t="s">
        <v>90</v>
      </c>
      <c r="Z579" s="2040" t="s">
        <v>2638</v>
      </c>
      <c r="AA579" s="2040"/>
      <c r="AB579" s="2040"/>
      <c r="AC579" s="2040"/>
      <c r="AD579" s="2040"/>
      <c r="AE579" s="2040"/>
      <c r="AF579" s="2040"/>
      <c r="AG579" s="2040"/>
      <c r="AH579" s="2040"/>
      <c r="AI579" s="2040"/>
      <c r="AJ579" s="2040"/>
      <c r="AK579" s="2040"/>
      <c r="BB579" s="58"/>
      <c r="BC579" s="58"/>
      <c r="BD579" s="58"/>
      <c r="BE579" s="58"/>
      <c r="BF579" s="58"/>
      <c r="BG579" s="58"/>
      <c r="BH579" s="58" t="s">
        <v>486</v>
      </c>
      <c r="BI579" s="58">
        <f>N683</f>
        <v>0</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32" t="s">
        <v>769</v>
      </c>
      <c r="H580" s="2032"/>
      <c r="I580" s="2032"/>
      <c r="J580" s="2032"/>
      <c r="K580" s="2032"/>
      <c r="L580" s="2032"/>
      <c r="M580" s="2032"/>
      <c r="N580" s="2032"/>
      <c r="O580" s="2032"/>
      <c r="P580" s="2032"/>
      <c r="Q580" s="2032"/>
      <c r="R580" s="2032"/>
      <c r="S580" s="88"/>
      <c r="T580" s="35"/>
      <c r="U580" s="12" t="s">
        <v>614</v>
      </c>
      <c r="Z580" s="2032" t="s">
        <v>769</v>
      </c>
      <c r="AA580" s="2032"/>
      <c r="AB580" s="2032"/>
      <c r="AC580" s="2032"/>
      <c r="AD580" s="2032"/>
      <c r="AE580" s="2032"/>
      <c r="AF580" s="2032"/>
      <c r="AG580" s="2032"/>
      <c r="AH580" s="2032"/>
      <c r="AI580" s="2032"/>
      <c r="AJ580" s="2032"/>
      <c r="AK580" s="2032"/>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2" t="s">
        <v>2639</v>
      </c>
      <c r="H581" s="2032"/>
      <c r="I581" s="2032"/>
      <c r="J581" s="2032"/>
      <c r="K581" s="2032"/>
      <c r="L581" s="2032"/>
      <c r="M581" s="2032"/>
      <c r="N581" s="2032"/>
      <c r="O581" s="2032"/>
      <c r="P581" s="2032"/>
      <c r="Q581" s="2032"/>
      <c r="R581" s="2032"/>
      <c r="S581" s="14"/>
      <c r="T581" s="35"/>
      <c r="U581" s="12" t="s">
        <v>17</v>
      </c>
      <c r="Z581" s="2032" t="s">
        <v>2639</v>
      </c>
      <c r="AA581" s="2032"/>
      <c r="AB581" s="2032"/>
      <c r="AC581" s="2032"/>
      <c r="AD581" s="2032"/>
      <c r="AE581" s="2032"/>
      <c r="AF581" s="2032"/>
      <c r="AG581" s="2032"/>
      <c r="AH581" s="2032"/>
      <c r="AI581" s="2032"/>
      <c r="AJ581" s="2032"/>
      <c r="AK581" s="203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44" t="s">
        <v>2640</v>
      </c>
      <c r="H582" s="2044"/>
      <c r="I582" s="2044"/>
      <c r="J582" s="2044"/>
      <c r="K582" s="2044"/>
      <c r="L582" s="2044"/>
      <c r="O582" s="137" t="s">
        <v>211</v>
      </c>
      <c r="P582" s="2045"/>
      <c r="Q582" s="2045"/>
      <c r="R582" s="2045"/>
      <c r="S582" s="16"/>
      <c r="T582" s="35"/>
      <c r="U582" s="12" t="s">
        <v>324</v>
      </c>
      <c r="Z582" s="2044" t="s">
        <v>2640</v>
      </c>
      <c r="AA582" s="2044"/>
      <c r="AB582" s="2044"/>
      <c r="AC582" s="2044"/>
      <c r="AD582" s="2044"/>
      <c r="AE582" s="2044"/>
      <c r="AH582" s="137" t="s">
        <v>211</v>
      </c>
      <c r="AI582" s="2045"/>
      <c r="AJ582" s="2045"/>
      <c r="AK582" s="204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0" t="s">
        <v>2616</v>
      </c>
      <c r="I583" s="2040"/>
      <c r="J583" s="2040"/>
      <c r="K583" s="2040"/>
      <c r="L583" s="2040"/>
      <c r="M583" s="2040"/>
      <c r="N583" s="2040"/>
      <c r="O583" s="2040"/>
      <c r="P583" s="2040"/>
      <c r="Q583" s="2040"/>
      <c r="R583" s="2040"/>
      <c r="S583" s="14"/>
      <c r="T583" s="35"/>
      <c r="U583" s="12" t="s">
        <v>18</v>
      </c>
      <c r="AA583" s="2040" t="s">
        <v>2617</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1383</v>
      </c>
      <c r="C584" s="718"/>
      <c r="D584" s="718"/>
      <c r="E584" s="718"/>
      <c r="F584" s="718"/>
      <c r="G584" s="718"/>
      <c r="H584" s="14"/>
      <c r="I584" s="14"/>
      <c r="J584" s="14"/>
      <c r="K584" s="14"/>
      <c r="L584" s="14"/>
      <c r="M584" s="2192"/>
      <c r="N584" s="2192"/>
      <c r="O584" s="2192"/>
      <c r="P584" s="2192"/>
      <c r="Q584" s="2192"/>
      <c r="R584" s="2192"/>
      <c r="S584" s="14"/>
      <c r="T584" s="35"/>
      <c r="U584" s="508" t="s">
        <v>1383</v>
      </c>
      <c r="V584" s="718"/>
      <c r="W584" s="718"/>
      <c r="X584" s="718"/>
      <c r="Y584" s="718"/>
      <c r="Z584" s="718"/>
      <c r="AA584" s="14"/>
      <c r="AB584" s="14"/>
      <c r="AC584" s="14"/>
      <c r="AD584" s="14"/>
      <c r="AE584" s="14"/>
      <c r="AF584" s="2192"/>
      <c r="AG584" s="2192"/>
      <c r="AH584" s="2192"/>
      <c r="AI584" s="2192"/>
      <c r="AJ584" s="2192"/>
      <c r="AK584" s="2192"/>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5" t="s">
        <v>577</v>
      </c>
      <c r="O585" s="2055"/>
      <c r="T585" s="35"/>
      <c r="U585" s="12" t="s">
        <v>20</v>
      </c>
      <c r="AG585" s="2055" t="s">
        <v>577</v>
      </c>
      <c r="AH585" s="205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2" t="str">
        <f>C566</f>
        <v>HCD AHSC Grant - HRI</v>
      </c>
      <c r="H587" s="2042"/>
      <c r="I587" s="2042"/>
      <c r="J587" s="2042"/>
      <c r="K587" s="2042"/>
      <c r="L587" s="2042"/>
      <c r="M587" s="2042"/>
      <c r="N587" s="2042"/>
      <c r="O587" s="2042"/>
      <c r="P587" s="2042"/>
      <c r="Q587" s="2042"/>
      <c r="R587" s="2042"/>
      <c r="T587" s="87" t="s">
        <v>615</v>
      </c>
      <c r="U587" s="12" t="s">
        <v>495</v>
      </c>
      <c r="Z587" s="2042" t="str">
        <f>C567</f>
        <v>City of Riverside</v>
      </c>
      <c r="AA587" s="2042"/>
      <c r="AB587" s="2042"/>
      <c r="AC587" s="2042"/>
      <c r="AD587" s="2042"/>
      <c r="AE587" s="2042"/>
      <c r="AF587" s="2042"/>
      <c r="AG587" s="2042"/>
      <c r="AH587" s="2042"/>
      <c r="AI587" s="2042"/>
      <c r="AJ587" s="2042"/>
      <c r="AK587" s="204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2643</v>
      </c>
      <c r="H588" s="2040"/>
      <c r="I588" s="2040"/>
      <c r="J588" s="2040"/>
      <c r="K588" s="2040"/>
      <c r="L588" s="2040"/>
      <c r="M588" s="2040"/>
      <c r="N588" s="2040"/>
      <c r="O588" s="2040"/>
      <c r="P588" s="2040"/>
      <c r="Q588" s="2040"/>
      <c r="R588" s="2040"/>
      <c r="T588" s="35"/>
      <c r="U588" s="12" t="s">
        <v>90</v>
      </c>
      <c r="Z588" s="2040" t="s">
        <v>2648</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2" t="s">
        <v>71</v>
      </c>
      <c r="H589" s="2032"/>
      <c r="I589" s="2032"/>
      <c r="J589" s="2032"/>
      <c r="K589" s="2032"/>
      <c r="L589" s="2032"/>
      <c r="M589" s="2032"/>
      <c r="N589" s="2032"/>
      <c r="O589" s="2032"/>
      <c r="P589" s="2032"/>
      <c r="Q589" s="2032"/>
      <c r="R589" s="2032"/>
      <c r="T589" s="35"/>
      <c r="U589" s="12" t="s">
        <v>614</v>
      </c>
      <c r="Z589" s="2040" t="s">
        <v>2649</v>
      </c>
      <c r="AA589" s="2040"/>
      <c r="AB589" s="2040"/>
      <c r="AC589" s="2040"/>
      <c r="AD589" s="2040"/>
      <c r="AE589" s="2040"/>
      <c r="AF589" s="2040"/>
      <c r="AG589" s="2040"/>
      <c r="AH589" s="2040"/>
      <c r="AI589" s="2040"/>
      <c r="AJ589" s="2040"/>
      <c r="AK589" s="204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2" t="s">
        <v>2644</v>
      </c>
      <c r="H590" s="2032"/>
      <c r="I590" s="2032"/>
      <c r="J590" s="2032"/>
      <c r="K590" s="2032"/>
      <c r="L590" s="2032"/>
      <c r="M590" s="2032"/>
      <c r="N590" s="2032"/>
      <c r="O590" s="2032"/>
      <c r="P590" s="2032"/>
      <c r="Q590" s="2032"/>
      <c r="R590" s="2032"/>
      <c r="T590" s="35"/>
      <c r="U590" s="12" t="s">
        <v>17</v>
      </c>
      <c r="Z590" s="2040" t="s">
        <v>2650</v>
      </c>
      <c r="AA590" s="2040"/>
      <c r="AB590" s="2040"/>
      <c r="AC590" s="2040"/>
      <c r="AD590" s="2040"/>
      <c r="AE590" s="2040"/>
      <c r="AF590" s="2040"/>
      <c r="AG590" s="2040"/>
      <c r="AH590" s="2040"/>
      <c r="AI590" s="2040"/>
      <c r="AJ590" s="2040"/>
      <c r="AK590" s="204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44" t="s">
        <v>2645</v>
      </c>
      <c r="H591" s="2056"/>
      <c r="I591" s="2056"/>
      <c r="J591" s="2056"/>
      <c r="K591" s="2056"/>
      <c r="L591" s="2056"/>
      <c r="O591" s="137" t="s">
        <v>211</v>
      </c>
      <c r="P591" s="2045"/>
      <c r="Q591" s="2045"/>
      <c r="R591" s="2045"/>
      <c r="T591" s="35"/>
      <c r="U591" s="12" t="s">
        <v>324</v>
      </c>
      <c r="Z591" s="2044" t="s">
        <v>2651</v>
      </c>
      <c r="AA591" s="2044"/>
      <c r="AB591" s="2044"/>
      <c r="AC591" s="2044"/>
      <c r="AD591" s="2044"/>
      <c r="AE591" s="2044"/>
      <c r="AH591" s="137" t="s">
        <v>211</v>
      </c>
      <c r="AI591" s="2045"/>
      <c r="AJ591" s="2045"/>
      <c r="AK591" s="204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0" t="s">
        <v>2646</v>
      </c>
      <c r="I592" s="2040"/>
      <c r="J592" s="2040"/>
      <c r="K592" s="2040"/>
      <c r="L592" s="2040"/>
      <c r="M592" s="2040"/>
      <c r="N592" s="2040"/>
      <c r="O592" s="2040"/>
      <c r="P592" s="2040"/>
      <c r="Q592" s="2040"/>
      <c r="R592" s="2040"/>
      <c r="T592" s="35"/>
      <c r="U592" s="12" t="s">
        <v>18</v>
      </c>
      <c r="AA592" s="2040" t="s">
        <v>2647</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5" t="s">
        <v>577</v>
      </c>
      <c r="O593" s="2055"/>
      <c r="T593" s="35"/>
      <c r="U593" s="12" t="s">
        <v>20</v>
      </c>
      <c r="AG593" s="2055" t="s">
        <v>577</v>
      </c>
      <c r="AH593" s="205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2" t="str">
        <f>C568</f>
        <v>CDLAC Performance Deposit Refund</v>
      </c>
      <c r="H595" s="2042"/>
      <c r="I595" s="2042"/>
      <c r="J595" s="2042"/>
      <c r="K595" s="2042"/>
      <c r="L595" s="2042"/>
      <c r="M595" s="2042"/>
      <c r="N595" s="2042"/>
      <c r="O595" s="2042"/>
      <c r="P595" s="2042"/>
      <c r="Q595" s="2042"/>
      <c r="R595" s="2042"/>
      <c r="T595" s="87" t="s">
        <v>618</v>
      </c>
      <c r="U595" s="12" t="s">
        <v>495</v>
      </c>
      <c r="Z595" s="2042" t="str">
        <f>C569</f>
        <v>Costs Deferred Until Conversion</v>
      </c>
      <c r="AA595" s="2042"/>
      <c r="AB595" s="2042"/>
      <c r="AC595" s="2042"/>
      <c r="AD595" s="2042"/>
      <c r="AE595" s="2042"/>
      <c r="AF595" s="2042"/>
      <c r="AG595" s="2042"/>
      <c r="AH595" s="2042"/>
      <c r="AI595" s="2042"/>
      <c r="AJ595" s="2042"/>
      <c r="AK595" s="204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t="s">
        <v>2652</v>
      </c>
      <c r="H596" s="2040"/>
      <c r="I596" s="2040"/>
      <c r="J596" s="2040"/>
      <c r="K596" s="2040"/>
      <c r="L596" s="2040"/>
      <c r="M596" s="2040"/>
      <c r="N596" s="2040"/>
      <c r="O596" s="2040"/>
      <c r="P596" s="2040"/>
      <c r="Q596" s="2040"/>
      <c r="R596" s="2040"/>
      <c r="T596" s="35"/>
      <c r="U596" s="12" t="s">
        <v>90</v>
      </c>
      <c r="Z596" s="2040" t="s">
        <v>2652</v>
      </c>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0" t="s">
        <v>2653</v>
      </c>
      <c r="H597" s="2040"/>
      <c r="I597" s="2040"/>
      <c r="J597" s="2040"/>
      <c r="K597" s="2040"/>
      <c r="L597" s="2040"/>
      <c r="M597" s="2040"/>
      <c r="N597" s="2040"/>
      <c r="O597" s="2040"/>
      <c r="P597" s="2040"/>
      <c r="Q597" s="2040"/>
      <c r="R597" s="2040"/>
      <c r="T597" s="35"/>
      <c r="U597" s="12" t="s">
        <v>614</v>
      </c>
      <c r="Z597" s="2040" t="s">
        <v>2653</v>
      </c>
      <c r="AA597" s="2040"/>
      <c r="AB597" s="2040"/>
      <c r="AC597" s="2040"/>
      <c r="AD597" s="2040"/>
      <c r="AE597" s="2040"/>
      <c r="AF597" s="2040"/>
      <c r="AG597" s="2040"/>
      <c r="AH597" s="2040"/>
      <c r="AI597" s="2040"/>
      <c r="AJ597" s="2040"/>
      <c r="AK597" s="204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0" t="s">
        <v>2531</v>
      </c>
      <c r="H598" s="2040"/>
      <c r="I598" s="2040"/>
      <c r="J598" s="2040"/>
      <c r="K598" s="2040"/>
      <c r="L598" s="2040"/>
      <c r="M598" s="2040"/>
      <c r="N598" s="2040"/>
      <c r="O598" s="2040"/>
      <c r="P598" s="2040"/>
      <c r="Q598" s="2040"/>
      <c r="R598" s="2040"/>
      <c r="T598" s="35"/>
      <c r="U598" s="12" t="s">
        <v>17</v>
      </c>
      <c r="Z598" s="2040" t="s">
        <v>2531</v>
      </c>
      <c r="AA598" s="2040"/>
      <c r="AB598" s="2040"/>
      <c r="AC598" s="2040"/>
      <c r="AD598" s="2040"/>
      <c r="AE598" s="2040"/>
      <c r="AF598" s="2040"/>
      <c r="AG598" s="2040"/>
      <c r="AH598" s="2040"/>
      <c r="AI598" s="2040"/>
      <c r="AJ598" s="2040"/>
      <c r="AK598" s="204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44" t="s">
        <v>2654</v>
      </c>
      <c r="H599" s="2056"/>
      <c r="I599" s="2056"/>
      <c r="J599" s="2056"/>
      <c r="K599" s="2056"/>
      <c r="L599" s="2056"/>
      <c r="O599" s="137" t="s">
        <v>211</v>
      </c>
      <c r="P599" s="2045"/>
      <c r="Q599" s="2045"/>
      <c r="R599" s="2045"/>
      <c r="T599" s="35"/>
      <c r="U599" s="12" t="s">
        <v>324</v>
      </c>
      <c r="Z599" s="2044" t="s">
        <v>2654</v>
      </c>
      <c r="AA599" s="2056"/>
      <c r="AB599" s="2056"/>
      <c r="AC599" s="2056"/>
      <c r="AD599" s="2056"/>
      <c r="AE599" s="2056"/>
      <c r="AH599" s="137" t="s">
        <v>211</v>
      </c>
      <c r="AI599" s="2045"/>
      <c r="AJ599" s="2045"/>
      <c r="AK599" s="204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t="s">
        <v>2655</v>
      </c>
      <c r="I600" s="2040"/>
      <c r="J600" s="2040"/>
      <c r="K600" s="2040"/>
      <c r="L600" s="2040"/>
      <c r="M600" s="2040"/>
      <c r="N600" s="2040"/>
      <c r="O600" s="2040"/>
      <c r="P600" s="2040"/>
      <c r="Q600" s="2040"/>
      <c r="R600" s="2040"/>
      <c r="T600" s="35"/>
      <c r="U600" s="12" t="s">
        <v>18</v>
      </c>
      <c r="AA600" s="2040" t="s">
        <v>2656</v>
      </c>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5" t="s">
        <v>577</v>
      </c>
      <c r="O601" s="2055"/>
      <c r="T601" s="35"/>
      <c r="U601" s="12" t="s">
        <v>20</v>
      </c>
      <c r="AG601" s="2055" t="s">
        <v>577</v>
      </c>
      <c r="AH601" s="205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42" t="str">
        <f>C570</f>
        <v>LP Capital Contribution</v>
      </c>
      <c r="H603" s="2042"/>
      <c r="I603" s="2042"/>
      <c r="J603" s="2042"/>
      <c r="K603" s="2042"/>
      <c r="L603" s="2042"/>
      <c r="M603" s="2042"/>
      <c r="N603" s="2042"/>
      <c r="O603" s="2042"/>
      <c r="P603" s="2042"/>
      <c r="Q603" s="2042"/>
      <c r="R603" s="2042"/>
      <c r="T603" s="87" t="s">
        <v>487</v>
      </c>
      <c r="U603" s="12" t="s">
        <v>495</v>
      </c>
      <c r="Z603" s="2042" t="str">
        <f>C571</f>
        <v>GP Capital Contribution</v>
      </c>
      <c r="AA603" s="2042"/>
      <c r="AB603" s="2042"/>
      <c r="AC603" s="2042"/>
      <c r="AD603" s="2042"/>
      <c r="AE603" s="2042"/>
      <c r="AF603" s="2042"/>
      <c r="AG603" s="2042"/>
      <c r="AH603" s="2042"/>
      <c r="AI603" s="2042"/>
      <c r="AJ603" s="2042"/>
      <c r="AK603" s="204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3" t="s">
        <v>2570</v>
      </c>
      <c r="H604" s="2040"/>
      <c r="I604" s="2040"/>
      <c r="J604" s="2040"/>
      <c r="K604" s="2040"/>
      <c r="L604" s="2040"/>
      <c r="M604" s="2040"/>
      <c r="N604" s="2040"/>
      <c r="O604" s="2040"/>
      <c r="P604" s="2040"/>
      <c r="Q604" s="2040"/>
      <c r="R604" s="2040"/>
      <c r="T604" s="35"/>
      <c r="U604" s="12" t="s">
        <v>90</v>
      </c>
      <c r="Z604" s="2040" t="s">
        <v>2652</v>
      </c>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0"/>
      <c r="H605" s="2040"/>
      <c r="I605" s="2040"/>
      <c r="J605" s="2040"/>
      <c r="K605" s="2040"/>
      <c r="L605" s="2040"/>
      <c r="M605" s="2040"/>
      <c r="N605" s="2040"/>
      <c r="O605" s="2040"/>
      <c r="P605" s="2040"/>
      <c r="Q605" s="2040"/>
      <c r="R605" s="2040"/>
      <c r="T605" s="35"/>
      <c r="U605" s="12" t="s">
        <v>614</v>
      </c>
      <c r="Z605" s="2040" t="s">
        <v>2653</v>
      </c>
      <c r="AA605" s="2040"/>
      <c r="AB605" s="2040"/>
      <c r="AC605" s="2040"/>
      <c r="AD605" s="2040"/>
      <c r="AE605" s="2040"/>
      <c r="AF605" s="2040"/>
      <c r="AG605" s="2040"/>
      <c r="AH605" s="2040"/>
      <c r="AI605" s="2040"/>
      <c r="AJ605" s="2040"/>
      <c r="AK605" s="204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0"/>
      <c r="H606" s="2040"/>
      <c r="I606" s="2040"/>
      <c r="J606" s="2040"/>
      <c r="K606" s="2040"/>
      <c r="L606" s="2040"/>
      <c r="M606" s="2040"/>
      <c r="N606" s="2040"/>
      <c r="O606" s="2040"/>
      <c r="P606" s="2040"/>
      <c r="Q606" s="2040"/>
      <c r="R606" s="2040"/>
      <c r="T606" s="35"/>
      <c r="U606" s="12" t="s">
        <v>17</v>
      </c>
      <c r="Z606" s="2040" t="s">
        <v>2531</v>
      </c>
      <c r="AA606" s="2040"/>
      <c r="AB606" s="2040"/>
      <c r="AC606" s="2040"/>
      <c r="AD606" s="2040"/>
      <c r="AE606" s="2040"/>
      <c r="AF606" s="2040"/>
      <c r="AG606" s="2040"/>
      <c r="AH606" s="2040"/>
      <c r="AI606" s="2040"/>
      <c r="AJ606" s="2040"/>
      <c r="AK606" s="204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44"/>
      <c r="H607" s="2056"/>
      <c r="I607" s="2056"/>
      <c r="J607" s="2056"/>
      <c r="K607" s="2056"/>
      <c r="L607" s="2056"/>
      <c r="M607" s="12"/>
      <c r="N607" s="12"/>
      <c r="O607" s="137" t="s">
        <v>211</v>
      </c>
      <c r="P607" s="2045"/>
      <c r="Q607" s="2045"/>
      <c r="R607" s="2045"/>
      <c r="S607" s="12"/>
      <c r="T607" s="35"/>
      <c r="U607" s="12" t="s">
        <v>324</v>
      </c>
      <c r="V607" s="12"/>
      <c r="W607" s="12"/>
      <c r="X607" s="12"/>
      <c r="Y607" s="12"/>
      <c r="Z607" s="2044" t="s">
        <v>2654</v>
      </c>
      <c r="AA607" s="2056"/>
      <c r="AB607" s="2056"/>
      <c r="AC607" s="2056"/>
      <c r="AD607" s="2056"/>
      <c r="AE607" s="2056"/>
      <c r="AF607" s="12"/>
      <c r="AG607" s="12"/>
      <c r="AH607" s="137" t="s">
        <v>211</v>
      </c>
      <c r="AI607" s="2045"/>
      <c r="AJ607" s="2045"/>
      <c r="AK607" s="204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0" t="s">
        <v>2675</v>
      </c>
      <c r="I608" s="2040"/>
      <c r="J608" s="2040"/>
      <c r="K608" s="2040"/>
      <c r="L608" s="2040"/>
      <c r="M608" s="2040"/>
      <c r="N608" s="2040"/>
      <c r="O608" s="2040"/>
      <c r="P608" s="2040"/>
      <c r="Q608" s="2040"/>
      <c r="R608" s="2040"/>
      <c r="S608" s="12"/>
      <c r="T608" s="35"/>
      <c r="U608" s="12" t="s">
        <v>18</v>
      </c>
      <c r="V608" s="12"/>
      <c r="W608" s="12"/>
      <c r="X608" s="12"/>
      <c r="Y608" s="12"/>
      <c r="Z608" s="12"/>
      <c r="AA608" s="2040" t="s">
        <v>2674</v>
      </c>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5"/>
      <c r="O609" s="2055"/>
      <c r="P609" s="12"/>
      <c r="Q609" s="12"/>
      <c r="R609" s="12"/>
      <c r="S609" s="12"/>
      <c r="T609" s="35"/>
      <c r="U609" s="12" t="s">
        <v>20</v>
      </c>
      <c r="V609" s="12"/>
      <c r="W609" s="12"/>
      <c r="X609" s="12"/>
      <c r="Y609" s="12"/>
      <c r="Z609" s="12"/>
      <c r="AA609" s="12"/>
      <c r="AB609" s="12"/>
      <c r="AC609" s="12"/>
      <c r="AD609" s="12"/>
      <c r="AE609" s="12"/>
      <c r="AF609" s="12"/>
      <c r="AG609" s="2055" t="s">
        <v>577</v>
      </c>
      <c r="AH609" s="2055"/>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71"/>
      <c r="BH609" s="2073"/>
      <c r="BI609" s="185" t="s">
        <v>507</v>
      </c>
      <c r="BJ609" s="186"/>
      <c r="BK609" s="2071"/>
      <c r="BL609" s="2073"/>
      <c r="BM609" s="58"/>
      <c r="BN609" s="2363" t="s">
        <v>667</v>
      </c>
      <c r="BO609" s="2364"/>
      <c r="BP609" s="2364"/>
      <c r="BQ609" s="2364"/>
      <c r="BR609" s="2365"/>
      <c r="BS609" s="2187" t="s">
        <v>333</v>
      </c>
      <c r="BT609" s="2187"/>
      <c r="BU609" s="2187"/>
      <c r="BV609" s="2187"/>
      <c r="BW609" s="2187"/>
      <c r="BX609" s="2187" t="s">
        <v>168</v>
      </c>
      <c r="BY609" s="2187"/>
      <c r="BZ609" s="2187"/>
      <c r="CA609" s="2187"/>
      <c r="CB609" s="2187"/>
      <c r="CC609" s="2187" t="s">
        <v>169</v>
      </c>
      <c r="CD609" s="2187"/>
      <c r="CE609" s="2187"/>
      <c r="CF609" s="2187"/>
      <c r="CG609" s="2187"/>
      <c r="CH609" s="2187" t="s">
        <v>492</v>
      </c>
      <c r="CI609" s="2187"/>
      <c r="CJ609" s="2187"/>
      <c r="CK609" s="2187"/>
      <c r="CL609" s="2187"/>
      <c r="CM609" s="2187" t="s">
        <v>31</v>
      </c>
      <c r="CN609" s="2187"/>
      <c r="CO609" s="2187"/>
      <c r="CP609" s="2187"/>
      <c r="CQ609" s="2187"/>
      <c r="CR609" s="1803"/>
      <c r="CS609" s="2187" t="s">
        <v>667</v>
      </c>
      <c r="CT609" s="2187"/>
      <c r="CU609" s="2187"/>
      <c r="CV609" s="2187"/>
      <c r="CW609" s="2187"/>
      <c r="CX609" s="2187" t="s">
        <v>333</v>
      </c>
      <c r="CY609" s="2187"/>
      <c r="CZ609" s="2187"/>
      <c r="DA609" s="2187"/>
      <c r="DB609" s="2187"/>
      <c r="DC609" s="2187" t="s">
        <v>168</v>
      </c>
      <c r="DD609" s="2187"/>
      <c r="DE609" s="2187"/>
      <c r="DF609" s="2187"/>
      <c r="DG609" s="2187"/>
      <c r="DH609" s="2187" t="s">
        <v>169</v>
      </c>
      <c r="DI609" s="2187"/>
      <c r="DJ609" s="2187"/>
      <c r="DK609" s="2187"/>
      <c r="DL609" s="2187"/>
      <c r="DM609" s="2187" t="s">
        <v>492</v>
      </c>
      <c r="DN609" s="2187"/>
      <c r="DO609" s="2187"/>
      <c r="DP609" s="2187"/>
      <c r="DQ609" s="2187"/>
      <c r="DR609" s="2187" t="s">
        <v>31</v>
      </c>
      <c r="DS609" s="2187"/>
      <c r="DT609" s="2187"/>
      <c r="DU609" s="2187"/>
      <c r="DV609" s="2187"/>
      <c r="DX609" s="2187" t="s">
        <v>667</v>
      </c>
      <c r="DY609" s="2187"/>
      <c r="DZ609" s="2187"/>
      <c r="EA609" s="2187"/>
      <c r="EB609" s="2187"/>
      <c r="EC609" s="2187" t="s">
        <v>333</v>
      </c>
      <c r="ED609" s="2187"/>
      <c r="EE609" s="2187"/>
      <c r="EF609" s="2187"/>
      <c r="EG609" s="2187"/>
      <c r="EH609" s="2187" t="s">
        <v>168</v>
      </c>
      <c r="EI609" s="2187"/>
      <c r="EJ609" s="2187"/>
      <c r="EK609" s="2187"/>
      <c r="EL609" s="2187"/>
      <c r="EM609" s="2187" t="s">
        <v>169</v>
      </c>
      <c r="EN609" s="2187"/>
      <c r="EO609" s="2187"/>
      <c r="EP609" s="2187"/>
      <c r="EQ609" s="2187"/>
      <c r="ER609" s="2187" t="s">
        <v>492</v>
      </c>
      <c r="ES609" s="2187"/>
      <c r="ET609" s="2187"/>
      <c r="EU609" s="2187"/>
      <c r="EV609" s="2187"/>
      <c r="EW609" s="2187" t="s">
        <v>31</v>
      </c>
      <c r="EX609" s="2187"/>
      <c r="EY609" s="2187"/>
      <c r="EZ609" s="2187"/>
      <c r="FA609" s="218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53">
        <f t="shared" ref="BE610:BE634" si="0">IF(AND(AH728&lt;=0.5,AH728&gt;=0.36),1,0)</f>
        <v>0</v>
      </c>
      <c r="BF610" s="2054"/>
      <c r="BG610" s="2071">
        <f t="shared" ref="BG610:BG634" si="1">IF(BE610=1,G728,0)</f>
        <v>0</v>
      </c>
      <c r="BH610" s="2073"/>
      <c r="BI610" s="2053">
        <f t="shared" ref="BI610:BI634" si="2">IF(AND(AH728&lt;=0.35,AH728&gt;0),1,0)</f>
        <v>1</v>
      </c>
      <c r="BJ610" s="2054"/>
      <c r="BK610" s="2071">
        <f t="shared" ref="BK610:BK634" si="3">IF(BI610=1,G728,0)</f>
        <v>5</v>
      </c>
      <c r="BL610" s="2073"/>
      <c r="BM610" s="58"/>
      <c r="BN610" s="2068">
        <f t="shared" ref="BN610:BN634" si="4">IF(B728="SRO/Studio",G728,0)</f>
        <v>0</v>
      </c>
      <c r="BO610" s="2069"/>
      <c r="BP610" s="2069"/>
      <c r="BQ610" s="2069"/>
      <c r="BR610" s="2070"/>
      <c r="BS610" s="2062">
        <f t="shared" ref="BS610:BS634" si="5">IF(B728="1 Bedroom",G728,0)</f>
        <v>5</v>
      </c>
      <c r="BT610" s="2062"/>
      <c r="BU610" s="2062"/>
      <c r="BV610" s="2062"/>
      <c r="BW610" s="2062"/>
      <c r="BX610" s="2062">
        <f t="shared" ref="BX610:BX634" si="6">IF(B728="2 Bedrooms",G728,0)</f>
        <v>0</v>
      </c>
      <c r="BY610" s="2062"/>
      <c r="BZ610" s="2062"/>
      <c r="CA610" s="2062"/>
      <c r="CB610" s="2062"/>
      <c r="CC610" s="2062">
        <f t="shared" ref="CC610:CC634" si="7">IF(B728="3 Bedrooms",G728,0)</f>
        <v>0</v>
      </c>
      <c r="CD610" s="2062"/>
      <c r="CE610" s="2062"/>
      <c r="CF610" s="2062"/>
      <c r="CG610" s="2062"/>
      <c r="CH610" s="2062">
        <f t="shared" ref="CH610:CH634" si="8">IF(B728="4 Bedrooms",G728,0)</f>
        <v>0</v>
      </c>
      <c r="CI610" s="2062"/>
      <c r="CJ610" s="2062"/>
      <c r="CK610" s="2062"/>
      <c r="CL610" s="2062"/>
      <c r="CM610" s="2062">
        <f t="shared" ref="CM610:CM634" si="9">IF(B728="5 Bedrooms",G728,0)</f>
        <v>0</v>
      </c>
      <c r="CN610" s="2062"/>
      <c r="CO610" s="2062"/>
      <c r="CP610" s="2062"/>
      <c r="CQ610" s="2062"/>
      <c r="CR610" s="264"/>
      <c r="CS610" s="2357">
        <f t="shared" ref="CS610:CS634" si="10">IF(AND(B728="SRO/Studio",AH728&lt;=0.3),G728,0)</f>
        <v>0</v>
      </c>
      <c r="CT610" s="2357"/>
      <c r="CU610" s="2357"/>
      <c r="CV610" s="2357"/>
      <c r="CW610" s="2357"/>
      <c r="CX610" s="2357">
        <f t="shared" ref="CX610:CX634" si="11">IF(AND(B728="1 Bedroom",AH728&lt;=0.3),G728,0)</f>
        <v>5</v>
      </c>
      <c r="CY610" s="2357"/>
      <c r="CZ610" s="2357"/>
      <c r="DA610" s="2357"/>
      <c r="DB610" s="2357"/>
      <c r="DC610" s="2357">
        <f t="shared" ref="DC610:DC634" si="12">IF(AND(B728="2 Bedrooms",AH728&lt;=0.3),G728,0)</f>
        <v>0</v>
      </c>
      <c r="DD610" s="2357"/>
      <c r="DE610" s="2357"/>
      <c r="DF610" s="2357"/>
      <c r="DG610" s="2357"/>
      <c r="DH610" s="2357">
        <f t="shared" ref="DH610:DH634" si="13">IF(AND(B728="3 Bedrooms",AH728&lt;=0.3),G728,0)</f>
        <v>0</v>
      </c>
      <c r="DI610" s="2357"/>
      <c r="DJ610" s="2357"/>
      <c r="DK610" s="2357"/>
      <c r="DL610" s="2357"/>
      <c r="DM610" s="2357">
        <f t="shared" ref="DM610:DM634" si="14">IF(AND(B728="4 Bedrooms",AH728&lt;=0.3),G728,0)</f>
        <v>0</v>
      </c>
      <c r="DN610" s="2357"/>
      <c r="DO610" s="2357"/>
      <c r="DP610" s="2357"/>
      <c r="DQ610" s="2357"/>
      <c r="DR610" s="2357">
        <f t="shared" ref="DR610:DR634" si="15">IF(AND(B728="5 Bedrooms",AH728&lt;=0.3),G728,0)</f>
        <v>0</v>
      </c>
      <c r="DS610" s="2357"/>
      <c r="DT610" s="2357"/>
      <c r="DU610" s="2357"/>
      <c r="DV610" s="2357"/>
      <c r="DX610" s="2053" t="str">
        <f t="shared" ref="DX610:DX634" si="16">IF(BN610&gt;0,O728," ")</f>
        <v xml:space="preserve"> </v>
      </c>
      <c r="DY610" s="2185"/>
      <c r="DZ610" s="2185"/>
      <c r="EA610" s="2185"/>
      <c r="EB610" s="2054"/>
      <c r="EC610" s="2053">
        <f t="shared" ref="EC610:EC634" si="17">IF(BS610&gt;0,O728," ")</f>
        <v>364</v>
      </c>
      <c r="ED610" s="2185"/>
      <c r="EE610" s="2185"/>
      <c r="EF610" s="2185"/>
      <c r="EG610" s="2054"/>
      <c r="EH610" s="2053" t="str">
        <f t="shared" ref="EH610:EH634" si="18">IF(BX610&gt;0,O728," ")</f>
        <v xml:space="preserve"> </v>
      </c>
      <c r="EI610" s="2185"/>
      <c r="EJ610" s="2185"/>
      <c r="EK610" s="2185"/>
      <c r="EL610" s="2054"/>
      <c r="EM610" s="2053" t="str">
        <f t="shared" ref="EM610:EM634" si="19">IF(CC610&gt;0,O728," ")</f>
        <v xml:space="preserve"> </v>
      </c>
      <c r="EN610" s="2185"/>
      <c r="EO610" s="2185"/>
      <c r="EP610" s="2185"/>
      <c r="EQ610" s="2054"/>
      <c r="ER610" s="2053" t="str">
        <f t="shared" ref="ER610:ER634" si="20">IF(CH610&gt;0,O728," ")</f>
        <v xml:space="preserve"> </v>
      </c>
      <c r="ES610" s="2185"/>
      <c r="ET610" s="2185"/>
      <c r="EU610" s="2185"/>
      <c r="EV610" s="2054"/>
      <c r="EW610" s="2053" t="str">
        <f t="shared" ref="EW610:EW634" si="21">IF(CM610&gt;0,O728," ")</f>
        <v xml:space="preserve"> </v>
      </c>
      <c r="EX610" s="2185"/>
      <c r="EY610" s="2185"/>
      <c r="EZ610" s="2185"/>
      <c r="FA610" s="2054"/>
    </row>
    <row r="611" spans="1:157" s="7" customFormat="1" ht="12.75">
      <c r="A611" s="87" t="s">
        <v>493</v>
      </c>
      <c r="B611" s="12" t="s">
        <v>495</v>
      </c>
      <c r="C611" s="12"/>
      <c r="D611" s="12"/>
      <c r="E611" s="12"/>
      <c r="F611" s="12"/>
      <c r="G611" s="2042">
        <f>C572</f>
        <v>0</v>
      </c>
      <c r="H611" s="2042"/>
      <c r="I611" s="2042"/>
      <c r="J611" s="2042"/>
      <c r="K611" s="2042"/>
      <c r="L611" s="2042"/>
      <c r="M611" s="2042"/>
      <c r="N611" s="2042"/>
      <c r="O611" s="2042"/>
      <c r="P611" s="2042"/>
      <c r="Q611" s="2042"/>
      <c r="R611" s="2042"/>
      <c r="S611" s="12"/>
      <c r="T611" s="87" t="s">
        <v>680</v>
      </c>
      <c r="U611" s="12" t="s">
        <v>495</v>
      </c>
      <c r="V611" s="12"/>
      <c r="W611" s="12"/>
      <c r="X611" s="12"/>
      <c r="Y611" s="12"/>
      <c r="Z611" s="2042">
        <f>C573</f>
        <v>0</v>
      </c>
      <c r="AA611" s="2042"/>
      <c r="AB611" s="2042"/>
      <c r="AC611" s="2042"/>
      <c r="AD611" s="2042"/>
      <c r="AE611" s="2042"/>
      <c r="AF611" s="2042"/>
      <c r="AG611" s="2042"/>
      <c r="AH611" s="2042"/>
      <c r="AI611" s="2042"/>
      <c r="AJ611" s="2042"/>
      <c r="AK611" s="2042"/>
      <c r="AL611" s="12"/>
      <c r="AM611" s="39"/>
      <c r="AN611" s="39"/>
      <c r="AO611" s="39"/>
      <c r="AP611" s="39"/>
      <c r="AQ611" s="39"/>
      <c r="AR611" s="39"/>
      <c r="AS611" s="39"/>
      <c r="AT611" s="39"/>
      <c r="AU611" s="39"/>
      <c r="AV611" s="39"/>
      <c r="AW611" s="39"/>
      <c r="AX611" s="39"/>
      <c r="AY611" s="39"/>
      <c r="BA611" s="7" t="s">
        <v>168</v>
      </c>
      <c r="BB611" s="58"/>
      <c r="BC611" s="58"/>
      <c r="BD611" s="58"/>
      <c r="BE611" s="2053">
        <f t="shared" si="0"/>
        <v>0</v>
      </c>
      <c r="BF611" s="2054"/>
      <c r="BG611" s="2071">
        <f t="shared" si="1"/>
        <v>0</v>
      </c>
      <c r="BH611" s="2073"/>
      <c r="BI611" s="2053">
        <f t="shared" si="2"/>
        <v>1</v>
      </c>
      <c r="BJ611" s="2054"/>
      <c r="BK611" s="2071">
        <f t="shared" si="3"/>
        <v>5</v>
      </c>
      <c r="BL611" s="2073"/>
      <c r="BM611" s="58"/>
      <c r="BN611" s="2068">
        <f t="shared" si="4"/>
        <v>0</v>
      </c>
      <c r="BO611" s="2069"/>
      <c r="BP611" s="2069"/>
      <c r="BQ611" s="2069"/>
      <c r="BR611" s="2070"/>
      <c r="BS611" s="2062">
        <f t="shared" si="5"/>
        <v>0</v>
      </c>
      <c r="BT611" s="2062"/>
      <c r="BU611" s="2062"/>
      <c r="BV611" s="2062"/>
      <c r="BW611" s="2062"/>
      <c r="BX611" s="2062">
        <f t="shared" si="6"/>
        <v>5</v>
      </c>
      <c r="BY611" s="2062"/>
      <c r="BZ611" s="2062"/>
      <c r="CA611" s="2062"/>
      <c r="CB611" s="2062"/>
      <c r="CC611" s="2062">
        <f t="shared" si="7"/>
        <v>0</v>
      </c>
      <c r="CD611" s="2062"/>
      <c r="CE611" s="2062"/>
      <c r="CF611" s="2062"/>
      <c r="CG611" s="2062"/>
      <c r="CH611" s="2062">
        <f t="shared" si="8"/>
        <v>0</v>
      </c>
      <c r="CI611" s="2062"/>
      <c r="CJ611" s="2062"/>
      <c r="CK611" s="2062"/>
      <c r="CL611" s="2062"/>
      <c r="CM611" s="2062">
        <f t="shared" si="9"/>
        <v>0</v>
      </c>
      <c r="CN611" s="2062"/>
      <c r="CO611" s="2062"/>
      <c r="CP611" s="2062"/>
      <c r="CQ611" s="2062"/>
      <c r="CR611" s="264"/>
      <c r="CS611" s="2357">
        <f t="shared" si="10"/>
        <v>0</v>
      </c>
      <c r="CT611" s="2357"/>
      <c r="CU611" s="2357"/>
      <c r="CV611" s="2357"/>
      <c r="CW611" s="2357"/>
      <c r="CX611" s="2357">
        <f t="shared" si="11"/>
        <v>0</v>
      </c>
      <c r="CY611" s="2357"/>
      <c r="CZ611" s="2357"/>
      <c r="DA611" s="2357"/>
      <c r="DB611" s="2357"/>
      <c r="DC611" s="2357">
        <f t="shared" si="12"/>
        <v>5</v>
      </c>
      <c r="DD611" s="2357"/>
      <c r="DE611" s="2357"/>
      <c r="DF611" s="2357"/>
      <c r="DG611" s="2357"/>
      <c r="DH611" s="2357">
        <f t="shared" si="13"/>
        <v>0</v>
      </c>
      <c r="DI611" s="2357"/>
      <c r="DJ611" s="2357"/>
      <c r="DK611" s="2357"/>
      <c r="DL611" s="2357"/>
      <c r="DM611" s="2357">
        <f t="shared" si="14"/>
        <v>0</v>
      </c>
      <c r="DN611" s="2357"/>
      <c r="DO611" s="2357"/>
      <c r="DP611" s="2357"/>
      <c r="DQ611" s="2357"/>
      <c r="DR611" s="2357">
        <f t="shared" si="15"/>
        <v>0</v>
      </c>
      <c r="DS611" s="2357"/>
      <c r="DT611" s="2357"/>
      <c r="DU611" s="2357"/>
      <c r="DV611" s="2357"/>
      <c r="DX611" s="2053" t="str">
        <f t="shared" si="16"/>
        <v xml:space="preserve"> </v>
      </c>
      <c r="DY611" s="2185"/>
      <c r="DZ611" s="2185"/>
      <c r="EA611" s="2185"/>
      <c r="EB611" s="2054"/>
      <c r="EC611" s="2053" t="str">
        <f t="shared" si="17"/>
        <v xml:space="preserve"> </v>
      </c>
      <c r="ED611" s="2185"/>
      <c r="EE611" s="2185"/>
      <c r="EF611" s="2185"/>
      <c r="EG611" s="2054"/>
      <c r="EH611" s="2053">
        <f t="shared" si="18"/>
        <v>435</v>
      </c>
      <c r="EI611" s="2185"/>
      <c r="EJ611" s="2185"/>
      <c r="EK611" s="2185"/>
      <c r="EL611" s="2054"/>
      <c r="EM611" s="2053" t="str">
        <f t="shared" si="19"/>
        <v xml:space="preserve"> </v>
      </c>
      <c r="EN611" s="2185"/>
      <c r="EO611" s="2185"/>
      <c r="EP611" s="2185"/>
      <c r="EQ611" s="2054"/>
      <c r="ER611" s="2053" t="str">
        <f t="shared" si="20"/>
        <v xml:space="preserve"> </v>
      </c>
      <c r="ES611" s="2185"/>
      <c r="ET611" s="2185"/>
      <c r="EU611" s="2185"/>
      <c r="EV611" s="2054"/>
      <c r="EW611" s="2053" t="str">
        <f t="shared" si="21"/>
        <v xml:space="preserve"> </v>
      </c>
      <c r="EX611" s="2185"/>
      <c r="EY611" s="2185"/>
      <c r="EZ611" s="2185"/>
      <c r="FA611" s="2054"/>
    </row>
    <row r="612" spans="1:157" ht="12.75">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53">
        <f t="shared" si="0"/>
        <v>0</v>
      </c>
      <c r="BF612" s="2054"/>
      <c r="BG612" s="2071">
        <f t="shared" si="1"/>
        <v>0</v>
      </c>
      <c r="BH612" s="2073"/>
      <c r="BI612" s="2053">
        <f t="shared" si="2"/>
        <v>1</v>
      </c>
      <c r="BJ612" s="2054"/>
      <c r="BK612" s="2071">
        <f t="shared" si="3"/>
        <v>3</v>
      </c>
      <c r="BL612" s="2073"/>
      <c r="BM612" s="58"/>
      <c r="BN612" s="2068">
        <f t="shared" si="4"/>
        <v>0</v>
      </c>
      <c r="BO612" s="2069"/>
      <c r="BP612" s="2069"/>
      <c r="BQ612" s="2069"/>
      <c r="BR612" s="2070"/>
      <c r="BS612" s="2062">
        <f t="shared" si="5"/>
        <v>0</v>
      </c>
      <c r="BT612" s="2062"/>
      <c r="BU612" s="2062"/>
      <c r="BV612" s="2062"/>
      <c r="BW612" s="2062"/>
      <c r="BX612" s="2062">
        <f t="shared" si="6"/>
        <v>0</v>
      </c>
      <c r="BY612" s="2062"/>
      <c r="BZ612" s="2062"/>
      <c r="CA612" s="2062"/>
      <c r="CB612" s="2062"/>
      <c r="CC612" s="2062">
        <f t="shared" si="7"/>
        <v>3</v>
      </c>
      <c r="CD612" s="2062"/>
      <c r="CE612" s="2062"/>
      <c r="CF612" s="2062"/>
      <c r="CG612" s="2062"/>
      <c r="CH612" s="2062">
        <f t="shared" si="8"/>
        <v>0</v>
      </c>
      <c r="CI612" s="2062"/>
      <c r="CJ612" s="2062"/>
      <c r="CK612" s="2062"/>
      <c r="CL612" s="2062"/>
      <c r="CM612" s="2062">
        <f t="shared" si="9"/>
        <v>0</v>
      </c>
      <c r="CN612" s="2062"/>
      <c r="CO612" s="2062"/>
      <c r="CP612" s="2062"/>
      <c r="CQ612" s="2062"/>
      <c r="CR612" s="264"/>
      <c r="CS612" s="2357">
        <f t="shared" si="10"/>
        <v>0</v>
      </c>
      <c r="CT612" s="2357"/>
      <c r="CU612" s="2357"/>
      <c r="CV612" s="2357"/>
      <c r="CW612" s="2357"/>
      <c r="CX612" s="2357">
        <f t="shared" si="11"/>
        <v>0</v>
      </c>
      <c r="CY612" s="2357"/>
      <c r="CZ612" s="2357"/>
      <c r="DA612" s="2357"/>
      <c r="DB612" s="2357"/>
      <c r="DC612" s="2357">
        <f t="shared" si="12"/>
        <v>0</v>
      </c>
      <c r="DD612" s="2357"/>
      <c r="DE612" s="2357"/>
      <c r="DF612" s="2357"/>
      <c r="DG612" s="2357"/>
      <c r="DH612" s="2357">
        <f t="shared" si="13"/>
        <v>3</v>
      </c>
      <c r="DI612" s="2357"/>
      <c r="DJ612" s="2357"/>
      <c r="DK612" s="2357"/>
      <c r="DL612" s="2357"/>
      <c r="DM612" s="2357">
        <f t="shared" si="14"/>
        <v>0</v>
      </c>
      <c r="DN612" s="2357"/>
      <c r="DO612" s="2357"/>
      <c r="DP612" s="2357"/>
      <c r="DQ612" s="2357"/>
      <c r="DR612" s="2357">
        <f t="shared" si="15"/>
        <v>0</v>
      </c>
      <c r="DS612" s="2357"/>
      <c r="DT612" s="2357"/>
      <c r="DU612" s="2357"/>
      <c r="DV612" s="2357"/>
      <c r="DX612" s="2053" t="str">
        <f t="shared" si="16"/>
        <v xml:space="preserve"> </v>
      </c>
      <c r="DY612" s="2185"/>
      <c r="DZ612" s="2185"/>
      <c r="EA612" s="2185"/>
      <c r="EB612" s="2054"/>
      <c r="EC612" s="2053" t="str">
        <f t="shared" si="17"/>
        <v xml:space="preserve"> </v>
      </c>
      <c r="ED612" s="2185"/>
      <c r="EE612" s="2185"/>
      <c r="EF612" s="2185"/>
      <c r="EG612" s="2054"/>
      <c r="EH612" s="2053" t="str">
        <f t="shared" si="18"/>
        <v xml:space="preserve"> </v>
      </c>
      <c r="EI612" s="2185"/>
      <c r="EJ612" s="2185"/>
      <c r="EK612" s="2185"/>
      <c r="EL612" s="2054"/>
      <c r="EM612" s="2053">
        <f t="shared" si="19"/>
        <v>500</v>
      </c>
      <c r="EN612" s="2185"/>
      <c r="EO612" s="2185"/>
      <c r="EP612" s="2185"/>
      <c r="EQ612" s="2054"/>
      <c r="ER612" s="2053" t="str">
        <f t="shared" si="20"/>
        <v xml:space="preserve"> </v>
      </c>
      <c r="ES612" s="2185"/>
      <c r="ET612" s="2185"/>
      <c r="EU612" s="2185"/>
      <c r="EV612" s="2054"/>
      <c r="EW612" s="2053" t="str">
        <f t="shared" si="21"/>
        <v xml:space="preserve"> </v>
      </c>
      <c r="EX612" s="2185"/>
      <c r="EY612" s="2185"/>
      <c r="EZ612" s="2185"/>
      <c r="FA612" s="2054"/>
    </row>
    <row r="613" spans="1:157" ht="12.75">
      <c r="A613" s="35"/>
      <c r="B613" s="12" t="s">
        <v>614</v>
      </c>
      <c r="G613" s="2040"/>
      <c r="H613" s="2040"/>
      <c r="I613" s="2040"/>
      <c r="J613" s="2040"/>
      <c r="K613" s="2040"/>
      <c r="L613" s="2040"/>
      <c r="M613" s="2040"/>
      <c r="N613" s="2040"/>
      <c r="O613" s="2040"/>
      <c r="P613" s="2040"/>
      <c r="Q613" s="2040"/>
      <c r="R613" s="2040"/>
      <c r="T613" s="35"/>
      <c r="U613" s="12" t="s">
        <v>614</v>
      </c>
      <c r="Z613" s="2032"/>
      <c r="AA613" s="2032"/>
      <c r="AB613" s="2032"/>
      <c r="AC613" s="2032"/>
      <c r="AD613" s="2032"/>
      <c r="AE613" s="2032"/>
      <c r="AF613" s="2032"/>
      <c r="AG613" s="2032"/>
      <c r="AH613" s="2032"/>
      <c r="AI613" s="2032"/>
      <c r="AJ613" s="2032"/>
      <c r="AK613" s="2032"/>
      <c r="BA613" s="7" t="s">
        <v>170</v>
      </c>
      <c r="BB613" s="58"/>
      <c r="BC613" s="58"/>
      <c r="BD613" s="58"/>
      <c r="BE613" s="2053">
        <f t="shared" si="0"/>
        <v>1</v>
      </c>
      <c r="BF613" s="2054"/>
      <c r="BG613" s="2071">
        <f t="shared" si="1"/>
        <v>3</v>
      </c>
      <c r="BH613" s="2073"/>
      <c r="BI613" s="2053">
        <f t="shared" si="2"/>
        <v>0</v>
      </c>
      <c r="BJ613" s="2054"/>
      <c r="BK613" s="2071">
        <f t="shared" si="3"/>
        <v>0</v>
      </c>
      <c r="BL613" s="2073"/>
      <c r="BM613" s="58"/>
      <c r="BN613" s="2068">
        <f t="shared" si="4"/>
        <v>0</v>
      </c>
      <c r="BO613" s="2069"/>
      <c r="BP613" s="2069"/>
      <c r="BQ613" s="2069"/>
      <c r="BR613" s="2070"/>
      <c r="BS613" s="2062">
        <f t="shared" si="5"/>
        <v>3</v>
      </c>
      <c r="BT613" s="2062"/>
      <c r="BU613" s="2062"/>
      <c r="BV613" s="2062"/>
      <c r="BW613" s="2062"/>
      <c r="BX613" s="2062">
        <f t="shared" si="6"/>
        <v>0</v>
      </c>
      <c r="BY613" s="2062"/>
      <c r="BZ613" s="2062"/>
      <c r="CA613" s="2062"/>
      <c r="CB613" s="2062"/>
      <c r="CC613" s="2062">
        <f t="shared" si="7"/>
        <v>0</v>
      </c>
      <c r="CD613" s="2062"/>
      <c r="CE613" s="2062"/>
      <c r="CF613" s="2062"/>
      <c r="CG613" s="2062"/>
      <c r="CH613" s="2062">
        <f t="shared" si="8"/>
        <v>0</v>
      </c>
      <c r="CI613" s="2062"/>
      <c r="CJ613" s="2062"/>
      <c r="CK613" s="2062"/>
      <c r="CL613" s="2062"/>
      <c r="CM613" s="2062">
        <f t="shared" si="9"/>
        <v>0</v>
      </c>
      <c r="CN613" s="2062"/>
      <c r="CO613" s="2062"/>
      <c r="CP613" s="2062"/>
      <c r="CQ613" s="2062"/>
      <c r="CR613" s="264"/>
      <c r="CS613" s="2357">
        <f t="shared" si="10"/>
        <v>0</v>
      </c>
      <c r="CT613" s="2357"/>
      <c r="CU613" s="2357"/>
      <c r="CV613" s="2357"/>
      <c r="CW613" s="2357"/>
      <c r="CX613" s="2357">
        <f t="shared" si="11"/>
        <v>0</v>
      </c>
      <c r="CY613" s="2357"/>
      <c r="CZ613" s="2357"/>
      <c r="DA613" s="2357"/>
      <c r="DB613" s="2357"/>
      <c r="DC613" s="2357">
        <f t="shared" si="12"/>
        <v>0</v>
      </c>
      <c r="DD613" s="2357"/>
      <c r="DE613" s="2357"/>
      <c r="DF613" s="2357"/>
      <c r="DG613" s="2357"/>
      <c r="DH613" s="2357">
        <f t="shared" si="13"/>
        <v>0</v>
      </c>
      <c r="DI613" s="2357"/>
      <c r="DJ613" s="2357"/>
      <c r="DK613" s="2357"/>
      <c r="DL613" s="2357"/>
      <c r="DM613" s="2357">
        <f t="shared" si="14"/>
        <v>0</v>
      </c>
      <c r="DN613" s="2357"/>
      <c r="DO613" s="2357"/>
      <c r="DP613" s="2357"/>
      <c r="DQ613" s="2357"/>
      <c r="DR613" s="2357">
        <f t="shared" si="15"/>
        <v>0</v>
      </c>
      <c r="DS613" s="2357"/>
      <c r="DT613" s="2357"/>
      <c r="DU613" s="2357"/>
      <c r="DV613" s="2357"/>
      <c r="DX613" s="2053" t="str">
        <f t="shared" si="16"/>
        <v xml:space="preserve"> </v>
      </c>
      <c r="DY613" s="2185"/>
      <c r="DZ613" s="2185"/>
      <c r="EA613" s="2185"/>
      <c r="EB613" s="2054"/>
      <c r="EC613" s="2053">
        <f t="shared" si="17"/>
        <v>660</v>
      </c>
      <c r="ED613" s="2185"/>
      <c r="EE613" s="2185"/>
      <c r="EF613" s="2185"/>
      <c r="EG613" s="2054"/>
      <c r="EH613" s="2053" t="str">
        <f t="shared" si="18"/>
        <v xml:space="preserve"> </v>
      </c>
      <c r="EI613" s="2185"/>
      <c r="EJ613" s="2185"/>
      <c r="EK613" s="2185"/>
      <c r="EL613" s="2054"/>
      <c r="EM613" s="2053" t="str">
        <f t="shared" si="19"/>
        <v xml:space="preserve"> </v>
      </c>
      <c r="EN613" s="2185"/>
      <c r="EO613" s="2185"/>
      <c r="EP613" s="2185"/>
      <c r="EQ613" s="2054"/>
      <c r="ER613" s="2053" t="str">
        <f t="shared" si="20"/>
        <v xml:space="preserve"> </v>
      </c>
      <c r="ES613" s="2185"/>
      <c r="ET613" s="2185"/>
      <c r="EU613" s="2185"/>
      <c r="EV613" s="2054"/>
      <c r="EW613" s="2053" t="str">
        <f t="shared" si="21"/>
        <v xml:space="preserve"> </v>
      </c>
      <c r="EX613" s="2185"/>
      <c r="EY613" s="2185"/>
      <c r="EZ613" s="2185"/>
      <c r="FA613" s="2054"/>
    </row>
    <row r="614" spans="1:157" ht="12.75">
      <c r="A614" s="35"/>
      <c r="B614" s="12" t="s">
        <v>17</v>
      </c>
      <c r="G614" s="2040"/>
      <c r="H614" s="2040"/>
      <c r="I614" s="2040"/>
      <c r="J614" s="2040"/>
      <c r="K614" s="2040"/>
      <c r="L614" s="2040"/>
      <c r="M614" s="2040"/>
      <c r="N614" s="2040"/>
      <c r="O614" s="2040"/>
      <c r="P614" s="2040"/>
      <c r="Q614" s="2040"/>
      <c r="R614" s="2040"/>
      <c r="T614" s="35"/>
      <c r="U614" s="12" t="s">
        <v>17</v>
      </c>
      <c r="Z614" s="2032"/>
      <c r="AA614" s="2032"/>
      <c r="AB614" s="2032"/>
      <c r="AC614" s="2032"/>
      <c r="AD614" s="2032"/>
      <c r="AE614" s="2032"/>
      <c r="AF614" s="2032"/>
      <c r="AG614" s="2032"/>
      <c r="AH614" s="2032"/>
      <c r="AI614" s="2032"/>
      <c r="AJ614" s="2032"/>
      <c r="AK614" s="2032"/>
      <c r="BA614" s="7" t="s">
        <v>31</v>
      </c>
      <c r="BB614" s="58"/>
      <c r="BC614" s="58"/>
      <c r="BD614" s="58"/>
      <c r="BE614" s="2053">
        <f t="shared" si="0"/>
        <v>1</v>
      </c>
      <c r="BF614" s="2054"/>
      <c r="BG614" s="2071">
        <f t="shared" si="1"/>
        <v>12</v>
      </c>
      <c r="BH614" s="2073"/>
      <c r="BI614" s="2053">
        <f t="shared" si="2"/>
        <v>0</v>
      </c>
      <c r="BJ614" s="2054"/>
      <c r="BK614" s="2071">
        <f t="shared" si="3"/>
        <v>0</v>
      </c>
      <c r="BL614" s="2073"/>
      <c r="BM614" s="58"/>
      <c r="BN614" s="2068">
        <f t="shared" si="4"/>
        <v>0</v>
      </c>
      <c r="BO614" s="2069"/>
      <c r="BP614" s="2069"/>
      <c r="BQ614" s="2069"/>
      <c r="BR614" s="2070"/>
      <c r="BS614" s="2062">
        <f t="shared" si="5"/>
        <v>0</v>
      </c>
      <c r="BT614" s="2062"/>
      <c r="BU614" s="2062"/>
      <c r="BV614" s="2062"/>
      <c r="BW614" s="2062"/>
      <c r="BX614" s="2062">
        <f t="shared" si="6"/>
        <v>12</v>
      </c>
      <c r="BY614" s="2062"/>
      <c r="BZ614" s="2062"/>
      <c r="CA614" s="2062"/>
      <c r="CB614" s="2062"/>
      <c r="CC614" s="2062">
        <f t="shared" si="7"/>
        <v>0</v>
      </c>
      <c r="CD614" s="2062"/>
      <c r="CE614" s="2062"/>
      <c r="CF614" s="2062"/>
      <c r="CG614" s="2062"/>
      <c r="CH614" s="2062">
        <f t="shared" si="8"/>
        <v>0</v>
      </c>
      <c r="CI614" s="2062"/>
      <c r="CJ614" s="2062"/>
      <c r="CK614" s="2062"/>
      <c r="CL614" s="2062"/>
      <c r="CM614" s="2062">
        <f t="shared" si="9"/>
        <v>0</v>
      </c>
      <c r="CN614" s="2062"/>
      <c r="CO614" s="2062"/>
      <c r="CP614" s="2062"/>
      <c r="CQ614" s="2062"/>
      <c r="CR614" s="264"/>
      <c r="CS614" s="2357">
        <f t="shared" si="10"/>
        <v>0</v>
      </c>
      <c r="CT614" s="2357"/>
      <c r="CU614" s="2357"/>
      <c r="CV614" s="2357"/>
      <c r="CW614" s="2357"/>
      <c r="CX614" s="2357">
        <f t="shared" si="11"/>
        <v>0</v>
      </c>
      <c r="CY614" s="2357"/>
      <c r="CZ614" s="2357"/>
      <c r="DA614" s="2357"/>
      <c r="DB614" s="2357"/>
      <c r="DC614" s="2357">
        <f t="shared" si="12"/>
        <v>0</v>
      </c>
      <c r="DD614" s="2357"/>
      <c r="DE614" s="2357"/>
      <c r="DF614" s="2357"/>
      <c r="DG614" s="2357"/>
      <c r="DH614" s="2357">
        <f t="shared" si="13"/>
        <v>0</v>
      </c>
      <c r="DI614" s="2357"/>
      <c r="DJ614" s="2357"/>
      <c r="DK614" s="2357"/>
      <c r="DL614" s="2357"/>
      <c r="DM614" s="2357">
        <f t="shared" si="14"/>
        <v>0</v>
      </c>
      <c r="DN614" s="2357"/>
      <c r="DO614" s="2357"/>
      <c r="DP614" s="2357"/>
      <c r="DQ614" s="2357"/>
      <c r="DR614" s="2357">
        <f t="shared" si="15"/>
        <v>0</v>
      </c>
      <c r="DS614" s="2357"/>
      <c r="DT614" s="2357"/>
      <c r="DU614" s="2357"/>
      <c r="DV614" s="2357"/>
      <c r="DX614" s="2053" t="str">
        <f t="shared" si="16"/>
        <v xml:space="preserve"> </v>
      </c>
      <c r="DY614" s="2185"/>
      <c r="DZ614" s="2185"/>
      <c r="EA614" s="2185"/>
      <c r="EB614" s="2054"/>
      <c r="EC614" s="2053" t="str">
        <f t="shared" si="17"/>
        <v xml:space="preserve"> </v>
      </c>
      <c r="ED614" s="2185"/>
      <c r="EE614" s="2185"/>
      <c r="EF614" s="2185"/>
      <c r="EG614" s="2054"/>
      <c r="EH614" s="2053">
        <f t="shared" si="18"/>
        <v>790</v>
      </c>
      <c r="EI614" s="2185"/>
      <c r="EJ614" s="2185"/>
      <c r="EK614" s="2185"/>
      <c r="EL614" s="2054"/>
      <c r="EM614" s="2053" t="str">
        <f t="shared" si="19"/>
        <v xml:space="preserve"> </v>
      </c>
      <c r="EN614" s="2185"/>
      <c r="EO614" s="2185"/>
      <c r="EP614" s="2185"/>
      <c r="EQ614" s="2054"/>
      <c r="ER614" s="2053" t="str">
        <f t="shared" si="20"/>
        <v xml:space="preserve"> </v>
      </c>
      <c r="ES614" s="2185"/>
      <c r="ET614" s="2185"/>
      <c r="EU614" s="2185"/>
      <c r="EV614" s="2054"/>
      <c r="EW614" s="2053" t="str">
        <f t="shared" si="21"/>
        <v xml:space="preserve"> </v>
      </c>
      <c r="EX614" s="2185"/>
      <c r="EY614" s="2185"/>
      <c r="EZ614" s="2185"/>
      <c r="FA614" s="2054"/>
    </row>
    <row r="615" spans="1:157" ht="12.75">
      <c r="A615" s="35"/>
      <c r="B615" s="12" t="s">
        <v>324</v>
      </c>
      <c r="G615" s="2044"/>
      <c r="H615" s="2056"/>
      <c r="I615" s="2056"/>
      <c r="J615" s="2056"/>
      <c r="K615" s="2056"/>
      <c r="L615" s="2056"/>
      <c r="O615" s="137" t="s">
        <v>211</v>
      </c>
      <c r="P615" s="2045"/>
      <c r="Q615" s="2045"/>
      <c r="R615" s="2045"/>
      <c r="T615" s="35"/>
      <c r="U615" s="12" t="s">
        <v>324</v>
      </c>
      <c r="Z615" s="2056"/>
      <c r="AA615" s="2056"/>
      <c r="AB615" s="2056"/>
      <c r="AC615" s="2056"/>
      <c r="AD615" s="2056"/>
      <c r="AE615" s="2056"/>
      <c r="AH615" s="137" t="s">
        <v>211</v>
      </c>
      <c r="AI615" s="2045"/>
      <c r="AJ615" s="2045"/>
      <c r="AK615" s="2045"/>
      <c r="AZ615" s="58"/>
      <c r="BA615" s="58"/>
      <c r="BB615" s="58"/>
      <c r="BC615" s="58"/>
      <c r="BD615" s="58"/>
      <c r="BE615" s="2053">
        <f t="shared" si="0"/>
        <v>1</v>
      </c>
      <c r="BF615" s="2054"/>
      <c r="BG615" s="2071">
        <f t="shared" si="1"/>
        <v>18</v>
      </c>
      <c r="BH615" s="2073"/>
      <c r="BI615" s="2053">
        <f t="shared" si="2"/>
        <v>0</v>
      </c>
      <c r="BJ615" s="2054"/>
      <c r="BK615" s="2071">
        <f t="shared" si="3"/>
        <v>0</v>
      </c>
      <c r="BL615" s="2073"/>
      <c r="BM615" s="58"/>
      <c r="BN615" s="2068">
        <f t="shared" si="4"/>
        <v>0</v>
      </c>
      <c r="BO615" s="2069"/>
      <c r="BP615" s="2069"/>
      <c r="BQ615" s="2069"/>
      <c r="BR615" s="2070"/>
      <c r="BS615" s="2062">
        <f t="shared" si="5"/>
        <v>0</v>
      </c>
      <c r="BT615" s="2062"/>
      <c r="BU615" s="2062"/>
      <c r="BV615" s="2062"/>
      <c r="BW615" s="2062"/>
      <c r="BX615" s="2062">
        <f t="shared" si="6"/>
        <v>0</v>
      </c>
      <c r="BY615" s="2062"/>
      <c r="BZ615" s="2062"/>
      <c r="CA615" s="2062"/>
      <c r="CB615" s="2062"/>
      <c r="CC615" s="2062">
        <f t="shared" si="7"/>
        <v>18</v>
      </c>
      <c r="CD615" s="2062"/>
      <c r="CE615" s="2062"/>
      <c r="CF615" s="2062"/>
      <c r="CG615" s="2062"/>
      <c r="CH615" s="2062">
        <f t="shared" si="8"/>
        <v>0</v>
      </c>
      <c r="CI615" s="2062"/>
      <c r="CJ615" s="2062"/>
      <c r="CK615" s="2062"/>
      <c r="CL615" s="2062"/>
      <c r="CM615" s="2062">
        <f t="shared" si="9"/>
        <v>0</v>
      </c>
      <c r="CN615" s="2062"/>
      <c r="CO615" s="2062"/>
      <c r="CP615" s="2062"/>
      <c r="CQ615" s="2062"/>
      <c r="CR615" s="264"/>
      <c r="CS615" s="2357">
        <f t="shared" si="10"/>
        <v>0</v>
      </c>
      <c r="CT615" s="2357"/>
      <c r="CU615" s="2357"/>
      <c r="CV615" s="2357"/>
      <c r="CW615" s="2357"/>
      <c r="CX615" s="2357">
        <f t="shared" si="11"/>
        <v>0</v>
      </c>
      <c r="CY615" s="2357"/>
      <c r="CZ615" s="2357"/>
      <c r="DA615" s="2357"/>
      <c r="DB615" s="2357"/>
      <c r="DC615" s="2357">
        <f t="shared" si="12"/>
        <v>0</v>
      </c>
      <c r="DD615" s="2357"/>
      <c r="DE615" s="2357"/>
      <c r="DF615" s="2357"/>
      <c r="DG615" s="2357"/>
      <c r="DH615" s="2357">
        <f t="shared" si="13"/>
        <v>0</v>
      </c>
      <c r="DI615" s="2357"/>
      <c r="DJ615" s="2357"/>
      <c r="DK615" s="2357"/>
      <c r="DL615" s="2357"/>
      <c r="DM615" s="2357">
        <f t="shared" si="14"/>
        <v>0</v>
      </c>
      <c r="DN615" s="2357"/>
      <c r="DO615" s="2357"/>
      <c r="DP615" s="2357"/>
      <c r="DQ615" s="2357"/>
      <c r="DR615" s="2357">
        <f t="shared" si="15"/>
        <v>0</v>
      </c>
      <c r="DS615" s="2357"/>
      <c r="DT615" s="2357"/>
      <c r="DU615" s="2357"/>
      <c r="DV615" s="2357"/>
      <c r="DX615" s="2053" t="str">
        <f t="shared" si="16"/>
        <v xml:space="preserve"> </v>
      </c>
      <c r="DY615" s="2185"/>
      <c r="DZ615" s="2185"/>
      <c r="EA615" s="2185"/>
      <c r="EB615" s="2054"/>
      <c r="EC615" s="2053" t="str">
        <f t="shared" si="17"/>
        <v xml:space="preserve"> </v>
      </c>
      <c r="ED615" s="2185"/>
      <c r="EE615" s="2185"/>
      <c r="EF615" s="2185"/>
      <c r="EG615" s="2054"/>
      <c r="EH615" s="2053" t="str">
        <f t="shared" si="18"/>
        <v xml:space="preserve"> </v>
      </c>
      <c r="EI615" s="2185"/>
      <c r="EJ615" s="2185"/>
      <c r="EK615" s="2185"/>
      <c r="EL615" s="2054"/>
      <c r="EM615" s="2053">
        <f t="shared" si="19"/>
        <v>911</v>
      </c>
      <c r="EN615" s="2185"/>
      <c r="EO615" s="2185"/>
      <c r="EP615" s="2185"/>
      <c r="EQ615" s="2054"/>
      <c r="ER615" s="2053" t="str">
        <f t="shared" si="20"/>
        <v xml:space="preserve"> </v>
      </c>
      <c r="ES615" s="2185"/>
      <c r="ET615" s="2185"/>
      <c r="EU615" s="2185"/>
      <c r="EV615" s="2054"/>
      <c r="EW615" s="2053" t="str">
        <f t="shared" si="21"/>
        <v xml:space="preserve"> </v>
      </c>
      <c r="EX615" s="2185"/>
      <c r="EY615" s="2185"/>
      <c r="EZ615" s="2185"/>
      <c r="FA615" s="2054"/>
    </row>
    <row r="616" spans="1:157" ht="12.75">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53">
        <f t="shared" si="0"/>
        <v>0</v>
      </c>
      <c r="BF616" s="2054"/>
      <c r="BG616" s="2071">
        <f t="shared" si="1"/>
        <v>0</v>
      </c>
      <c r="BH616" s="2073"/>
      <c r="BI616" s="2053">
        <f t="shared" si="2"/>
        <v>0</v>
      </c>
      <c r="BJ616" s="2054"/>
      <c r="BK616" s="2071">
        <f t="shared" si="3"/>
        <v>0</v>
      </c>
      <c r="BL616" s="2073"/>
      <c r="BM616" s="58"/>
      <c r="BN616" s="2068">
        <f t="shared" si="4"/>
        <v>0</v>
      </c>
      <c r="BO616" s="2069"/>
      <c r="BP616" s="2069"/>
      <c r="BQ616" s="2069"/>
      <c r="BR616" s="2070"/>
      <c r="BS616" s="2062">
        <f t="shared" si="5"/>
        <v>2</v>
      </c>
      <c r="BT616" s="2062"/>
      <c r="BU616" s="2062"/>
      <c r="BV616" s="2062"/>
      <c r="BW616" s="2062"/>
      <c r="BX616" s="2062">
        <f t="shared" si="6"/>
        <v>0</v>
      </c>
      <c r="BY616" s="2062"/>
      <c r="BZ616" s="2062"/>
      <c r="CA616" s="2062"/>
      <c r="CB616" s="2062"/>
      <c r="CC616" s="2062">
        <f t="shared" si="7"/>
        <v>0</v>
      </c>
      <c r="CD616" s="2062"/>
      <c r="CE616" s="2062"/>
      <c r="CF616" s="2062"/>
      <c r="CG616" s="2062"/>
      <c r="CH616" s="2062">
        <f t="shared" si="8"/>
        <v>0</v>
      </c>
      <c r="CI616" s="2062"/>
      <c r="CJ616" s="2062"/>
      <c r="CK616" s="2062"/>
      <c r="CL616" s="2062"/>
      <c r="CM616" s="2062">
        <f t="shared" si="9"/>
        <v>0</v>
      </c>
      <c r="CN616" s="2062"/>
      <c r="CO616" s="2062"/>
      <c r="CP616" s="2062"/>
      <c r="CQ616" s="2062"/>
      <c r="CR616" s="264"/>
      <c r="CS616" s="2357">
        <f t="shared" si="10"/>
        <v>0</v>
      </c>
      <c r="CT616" s="2357"/>
      <c r="CU616" s="2357"/>
      <c r="CV616" s="2357"/>
      <c r="CW616" s="2357"/>
      <c r="CX616" s="2357">
        <f t="shared" si="11"/>
        <v>0</v>
      </c>
      <c r="CY616" s="2357"/>
      <c r="CZ616" s="2357"/>
      <c r="DA616" s="2357"/>
      <c r="DB616" s="2357"/>
      <c r="DC616" s="2357">
        <f t="shared" si="12"/>
        <v>0</v>
      </c>
      <c r="DD616" s="2357"/>
      <c r="DE616" s="2357"/>
      <c r="DF616" s="2357"/>
      <c r="DG616" s="2357"/>
      <c r="DH616" s="2357">
        <f t="shared" si="13"/>
        <v>0</v>
      </c>
      <c r="DI616" s="2357"/>
      <c r="DJ616" s="2357"/>
      <c r="DK616" s="2357"/>
      <c r="DL616" s="2357"/>
      <c r="DM616" s="2357">
        <f t="shared" si="14"/>
        <v>0</v>
      </c>
      <c r="DN616" s="2357"/>
      <c r="DO616" s="2357"/>
      <c r="DP616" s="2357"/>
      <c r="DQ616" s="2357"/>
      <c r="DR616" s="2357">
        <f t="shared" si="15"/>
        <v>0</v>
      </c>
      <c r="DS616" s="2357"/>
      <c r="DT616" s="2357"/>
      <c r="DU616" s="2357"/>
      <c r="DV616" s="2357"/>
      <c r="DX616" s="2053" t="str">
        <f t="shared" si="16"/>
        <v xml:space="preserve"> </v>
      </c>
      <c r="DY616" s="2185"/>
      <c r="DZ616" s="2185"/>
      <c r="EA616" s="2185"/>
      <c r="EB616" s="2054"/>
      <c r="EC616" s="2053">
        <f t="shared" si="17"/>
        <v>808</v>
      </c>
      <c r="ED616" s="2185"/>
      <c r="EE616" s="2185"/>
      <c r="EF616" s="2185"/>
      <c r="EG616" s="2054"/>
      <c r="EH616" s="2053" t="str">
        <f t="shared" si="18"/>
        <v xml:space="preserve"> </v>
      </c>
      <c r="EI616" s="2185"/>
      <c r="EJ616" s="2185"/>
      <c r="EK616" s="2185"/>
      <c r="EL616" s="2054"/>
      <c r="EM616" s="2053" t="str">
        <f t="shared" si="19"/>
        <v xml:space="preserve"> </v>
      </c>
      <c r="EN616" s="2185"/>
      <c r="EO616" s="2185"/>
      <c r="EP616" s="2185"/>
      <c r="EQ616" s="2054"/>
      <c r="ER616" s="2053" t="str">
        <f t="shared" si="20"/>
        <v xml:space="preserve"> </v>
      </c>
      <c r="ES616" s="2185"/>
      <c r="ET616" s="2185"/>
      <c r="EU616" s="2185"/>
      <c r="EV616" s="2054"/>
      <c r="EW616" s="2053" t="str">
        <f t="shared" si="21"/>
        <v xml:space="preserve"> </v>
      </c>
      <c r="EX616" s="2185"/>
      <c r="EY616" s="2185"/>
      <c r="EZ616" s="2185"/>
      <c r="FA616" s="2054"/>
    </row>
    <row r="617" spans="1:157" ht="12.75">
      <c r="A617" s="35"/>
      <c r="B617" s="12" t="s">
        <v>20</v>
      </c>
      <c r="N617" s="2055"/>
      <c r="O617" s="2055"/>
      <c r="T617" s="35"/>
      <c r="U617" s="12" t="s">
        <v>20</v>
      </c>
      <c r="AG617" s="2055" t="s">
        <v>705</v>
      </c>
      <c r="AH617" s="2055"/>
      <c r="AZ617" s="58"/>
      <c r="BA617" s="58"/>
      <c r="BB617" s="58"/>
      <c r="BC617" s="58"/>
      <c r="BD617" s="58"/>
      <c r="BE617" s="2053">
        <f t="shared" si="0"/>
        <v>0</v>
      </c>
      <c r="BF617" s="2054"/>
      <c r="BG617" s="2071">
        <f t="shared" si="1"/>
        <v>0</v>
      </c>
      <c r="BH617" s="2073"/>
      <c r="BI617" s="2053">
        <f t="shared" si="2"/>
        <v>0</v>
      </c>
      <c r="BJ617" s="2054"/>
      <c r="BK617" s="2071">
        <f t="shared" si="3"/>
        <v>0</v>
      </c>
      <c r="BL617" s="2073"/>
      <c r="BM617" s="58"/>
      <c r="BN617" s="2068">
        <f t="shared" si="4"/>
        <v>0</v>
      </c>
      <c r="BO617" s="2069"/>
      <c r="BP617" s="2069"/>
      <c r="BQ617" s="2069"/>
      <c r="BR617" s="2070"/>
      <c r="BS617" s="2062">
        <f t="shared" si="5"/>
        <v>0</v>
      </c>
      <c r="BT617" s="2062"/>
      <c r="BU617" s="2062"/>
      <c r="BV617" s="2062"/>
      <c r="BW617" s="2062"/>
      <c r="BX617" s="2062">
        <f t="shared" si="6"/>
        <v>2</v>
      </c>
      <c r="BY617" s="2062"/>
      <c r="BZ617" s="2062"/>
      <c r="CA617" s="2062"/>
      <c r="CB617" s="2062"/>
      <c r="CC617" s="2062">
        <f t="shared" si="7"/>
        <v>0</v>
      </c>
      <c r="CD617" s="2062"/>
      <c r="CE617" s="2062"/>
      <c r="CF617" s="2062"/>
      <c r="CG617" s="2062"/>
      <c r="CH617" s="2062">
        <f t="shared" si="8"/>
        <v>0</v>
      </c>
      <c r="CI617" s="2062"/>
      <c r="CJ617" s="2062"/>
      <c r="CK617" s="2062"/>
      <c r="CL617" s="2062"/>
      <c r="CM617" s="2062">
        <f t="shared" si="9"/>
        <v>0</v>
      </c>
      <c r="CN617" s="2062"/>
      <c r="CO617" s="2062"/>
      <c r="CP617" s="2062"/>
      <c r="CQ617" s="2062"/>
      <c r="CR617" s="264"/>
      <c r="CS617" s="2357">
        <f t="shared" si="10"/>
        <v>0</v>
      </c>
      <c r="CT617" s="2357"/>
      <c r="CU617" s="2357"/>
      <c r="CV617" s="2357"/>
      <c r="CW617" s="2357"/>
      <c r="CX617" s="2357">
        <f t="shared" si="11"/>
        <v>0</v>
      </c>
      <c r="CY617" s="2357"/>
      <c r="CZ617" s="2357"/>
      <c r="DA617" s="2357"/>
      <c r="DB617" s="2357"/>
      <c r="DC617" s="2357">
        <f t="shared" si="12"/>
        <v>0</v>
      </c>
      <c r="DD617" s="2357"/>
      <c r="DE617" s="2357"/>
      <c r="DF617" s="2357"/>
      <c r="DG617" s="2357"/>
      <c r="DH617" s="2357">
        <f t="shared" si="13"/>
        <v>0</v>
      </c>
      <c r="DI617" s="2357"/>
      <c r="DJ617" s="2357"/>
      <c r="DK617" s="2357"/>
      <c r="DL617" s="2357"/>
      <c r="DM617" s="2357">
        <f t="shared" si="14"/>
        <v>0</v>
      </c>
      <c r="DN617" s="2357"/>
      <c r="DO617" s="2357"/>
      <c r="DP617" s="2357"/>
      <c r="DQ617" s="2357"/>
      <c r="DR617" s="2357">
        <f t="shared" si="15"/>
        <v>0</v>
      </c>
      <c r="DS617" s="2357"/>
      <c r="DT617" s="2357"/>
      <c r="DU617" s="2357"/>
      <c r="DV617" s="2357"/>
      <c r="DX617" s="2053" t="str">
        <f t="shared" si="16"/>
        <v xml:space="preserve"> </v>
      </c>
      <c r="DY617" s="2185"/>
      <c r="DZ617" s="2185"/>
      <c r="EA617" s="2185"/>
      <c r="EB617" s="2054"/>
      <c r="EC617" s="2053" t="str">
        <f t="shared" si="17"/>
        <v xml:space="preserve"> </v>
      </c>
      <c r="ED617" s="2185"/>
      <c r="EE617" s="2185"/>
      <c r="EF617" s="2185"/>
      <c r="EG617" s="2054"/>
      <c r="EH617" s="2053">
        <f t="shared" si="18"/>
        <v>968</v>
      </c>
      <c r="EI617" s="2185"/>
      <c r="EJ617" s="2185"/>
      <c r="EK617" s="2185"/>
      <c r="EL617" s="2054"/>
      <c r="EM617" s="2053" t="str">
        <f t="shared" si="19"/>
        <v xml:space="preserve"> </v>
      </c>
      <c r="EN617" s="2185"/>
      <c r="EO617" s="2185"/>
      <c r="EP617" s="2185"/>
      <c r="EQ617" s="2054"/>
      <c r="ER617" s="2053" t="str">
        <f t="shared" si="20"/>
        <v xml:space="preserve"> </v>
      </c>
      <c r="ES617" s="2185"/>
      <c r="ET617" s="2185"/>
      <c r="EU617" s="2185"/>
      <c r="EV617" s="2054"/>
      <c r="EW617" s="2053" t="str">
        <f t="shared" si="21"/>
        <v xml:space="preserve"> </v>
      </c>
      <c r="EX617" s="2185"/>
      <c r="EY617" s="2185"/>
      <c r="EZ617" s="2185"/>
      <c r="FA617" s="205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3">
        <f t="shared" si="0"/>
        <v>0</v>
      </c>
      <c r="BF618" s="2054"/>
      <c r="BG618" s="2071">
        <f t="shared" si="1"/>
        <v>0</v>
      </c>
      <c r="BH618" s="2073"/>
      <c r="BI618" s="2053">
        <f t="shared" si="2"/>
        <v>0</v>
      </c>
      <c r="BJ618" s="2054"/>
      <c r="BK618" s="2071">
        <f t="shared" si="3"/>
        <v>0</v>
      </c>
      <c r="BL618" s="2073"/>
      <c r="BM618" s="58"/>
      <c r="BN618" s="2068">
        <f t="shared" si="4"/>
        <v>0</v>
      </c>
      <c r="BO618" s="2069"/>
      <c r="BP618" s="2069"/>
      <c r="BQ618" s="2069"/>
      <c r="BR618" s="2070"/>
      <c r="BS618" s="2062">
        <f t="shared" si="5"/>
        <v>0</v>
      </c>
      <c r="BT618" s="2062"/>
      <c r="BU618" s="2062"/>
      <c r="BV618" s="2062"/>
      <c r="BW618" s="2062"/>
      <c r="BX618" s="2062">
        <f t="shared" si="6"/>
        <v>0</v>
      </c>
      <c r="BY618" s="2062"/>
      <c r="BZ618" s="2062"/>
      <c r="CA618" s="2062"/>
      <c r="CB618" s="2062"/>
      <c r="CC618" s="2062">
        <f t="shared" si="7"/>
        <v>9</v>
      </c>
      <c r="CD618" s="2062"/>
      <c r="CE618" s="2062"/>
      <c r="CF618" s="2062"/>
      <c r="CG618" s="2062"/>
      <c r="CH618" s="2062">
        <f t="shared" si="8"/>
        <v>0</v>
      </c>
      <c r="CI618" s="2062"/>
      <c r="CJ618" s="2062"/>
      <c r="CK618" s="2062"/>
      <c r="CL618" s="2062"/>
      <c r="CM618" s="2062">
        <f t="shared" si="9"/>
        <v>0</v>
      </c>
      <c r="CN618" s="2062"/>
      <c r="CO618" s="2062"/>
      <c r="CP618" s="2062"/>
      <c r="CQ618" s="2062"/>
      <c r="CR618" s="264"/>
      <c r="CS618" s="2357">
        <f t="shared" si="10"/>
        <v>0</v>
      </c>
      <c r="CT618" s="2357"/>
      <c r="CU618" s="2357"/>
      <c r="CV618" s="2357"/>
      <c r="CW618" s="2357"/>
      <c r="CX618" s="2357">
        <f t="shared" si="11"/>
        <v>0</v>
      </c>
      <c r="CY618" s="2357"/>
      <c r="CZ618" s="2357"/>
      <c r="DA618" s="2357"/>
      <c r="DB618" s="2357"/>
      <c r="DC618" s="2357">
        <f t="shared" si="12"/>
        <v>0</v>
      </c>
      <c r="DD618" s="2357"/>
      <c r="DE618" s="2357"/>
      <c r="DF618" s="2357"/>
      <c r="DG618" s="2357"/>
      <c r="DH618" s="2357">
        <f t="shared" si="13"/>
        <v>0</v>
      </c>
      <c r="DI618" s="2357"/>
      <c r="DJ618" s="2357"/>
      <c r="DK618" s="2357"/>
      <c r="DL618" s="2357"/>
      <c r="DM618" s="2357">
        <f t="shared" si="14"/>
        <v>0</v>
      </c>
      <c r="DN618" s="2357"/>
      <c r="DO618" s="2357"/>
      <c r="DP618" s="2357"/>
      <c r="DQ618" s="2357"/>
      <c r="DR618" s="2357">
        <f t="shared" si="15"/>
        <v>0</v>
      </c>
      <c r="DS618" s="2357"/>
      <c r="DT618" s="2357"/>
      <c r="DU618" s="2357"/>
      <c r="DV618" s="2357"/>
      <c r="DX618" s="2053" t="str">
        <f t="shared" si="16"/>
        <v xml:space="preserve"> </v>
      </c>
      <c r="DY618" s="2185"/>
      <c r="DZ618" s="2185"/>
      <c r="EA618" s="2185"/>
      <c r="EB618" s="2054"/>
      <c r="EC618" s="2053" t="str">
        <f t="shared" si="17"/>
        <v xml:space="preserve"> </v>
      </c>
      <c r="ED618" s="2185"/>
      <c r="EE618" s="2185"/>
      <c r="EF618" s="2185"/>
      <c r="EG618" s="2054"/>
      <c r="EH618" s="2053" t="str">
        <f t="shared" si="18"/>
        <v xml:space="preserve"> </v>
      </c>
      <c r="EI618" s="2185"/>
      <c r="EJ618" s="2185"/>
      <c r="EK618" s="2185"/>
      <c r="EL618" s="2054"/>
      <c r="EM618" s="2053">
        <f t="shared" si="19"/>
        <v>1117</v>
      </c>
      <c r="EN618" s="2185"/>
      <c r="EO618" s="2185"/>
      <c r="EP618" s="2185"/>
      <c r="EQ618" s="2054"/>
      <c r="ER618" s="2053" t="str">
        <f t="shared" si="20"/>
        <v xml:space="preserve"> </v>
      </c>
      <c r="ES618" s="2185"/>
      <c r="ET618" s="2185"/>
      <c r="EU618" s="2185"/>
      <c r="EV618" s="2054"/>
      <c r="EW618" s="2053" t="str">
        <f t="shared" si="21"/>
        <v xml:space="preserve"> </v>
      </c>
      <c r="EX618" s="2185"/>
      <c r="EY618" s="2185"/>
      <c r="EZ618" s="2185"/>
      <c r="FA618" s="2054"/>
    </row>
    <row r="619" spans="1:157" s="7" customFormat="1" ht="12.75">
      <c r="A619" s="87" t="s">
        <v>371</v>
      </c>
      <c r="B619" s="12" t="s">
        <v>495</v>
      </c>
      <c r="C619" s="12"/>
      <c r="D619" s="12"/>
      <c r="E619" s="12"/>
      <c r="F619" s="12"/>
      <c r="G619" s="2042">
        <f>C574</f>
        <v>0</v>
      </c>
      <c r="H619" s="2042"/>
      <c r="I619" s="2042"/>
      <c r="J619" s="2042"/>
      <c r="K619" s="2042"/>
      <c r="L619" s="2042"/>
      <c r="M619" s="2042"/>
      <c r="N619" s="2042"/>
      <c r="O619" s="2042"/>
      <c r="P619" s="2042"/>
      <c r="Q619" s="2042"/>
      <c r="R619" s="2042"/>
      <c r="S619" s="12"/>
      <c r="T619" s="87" t="s">
        <v>372</v>
      </c>
      <c r="U619" s="12" t="s">
        <v>495</v>
      </c>
      <c r="V619" s="12"/>
      <c r="W619" s="12"/>
      <c r="X619" s="12"/>
      <c r="Y619" s="12"/>
      <c r="Z619" s="2042">
        <f>C575</f>
        <v>0</v>
      </c>
      <c r="AA619" s="2042"/>
      <c r="AB619" s="2042"/>
      <c r="AC619" s="2042"/>
      <c r="AD619" s="2042"/>
      <c r="AE619" s="2042"/>
      <c r="AF619" s="2042"/>
      <c r="AG619" s="2042"/>
      <c r="AH619" s="2042"/>
      <c r="AI619" s="2042"/>
      <c r="AJ619" s="2042"/>
      <c r="AK619" s="2042"/>
      <c r="AL619" s="12"/>
      <c r="AM619" s="39"/>
      <c r="AN619" s="39"/>
      <c r="AO619" s="39"/>
      <c r="AP619" s="39"/>
      <c r="AQ619" s="39"/>
      <c r="AR619" s="39"/>
      <c r="AS619" s="39"/>
      <c r="AT619" s="39"/>
      <c r="AU619" s="39"/>
      <c r="AV619" s="39"/>
      <c r="AW619" s="39"/>
      <c r="AX619" s="39"/>
      <c r="AY619" s="39"/>
      <c r="AZ619" s="58"/>
      <c r="BA619" s="58"/>
      <c r="BB619" s="58"/>
      <c r="BC619" s="58"/>
      <c r="BD619" s="58"/>
      <c r="BE619" s="2053">
        <f t="shared" si="0"/>
        <v>1</v>
      </c>
      <c r="BF619" s="2054"/>
      <c r="BG619" s="2071">
        <f t="shared" si="1"/>
        <v>5</v>
      </c>
      <c r="BH619" s="2073"/>
      <c r="BI619" s="2053">
        <f t="shared" si="2"/>
        <v>0</v>
      </c>
      <c r="BJ619" s="2054"/>
      <c r="BK619" s="2071">
        <f t="shared" si="3"/>
        <v>0</v>
      </c>
      <c r="BL619" s="2073"/>
      <c r="BM619" s="58"/>
      <c r="BN619" s="2068">
        <f t="shared" si="4"/>
        <v>0</v>
      </c>
      <c r="BO619" s="2069"/>
      <c r="BP619" s="2069"/>
      <c r="BQ619" s="2069"/>
      <c r="BR619" s="2070"/>
      <c r="BS619" s="2062">
        <f t="shared" si="5"/>
        <v>5</v>
      </c>
      <c r="BT619" s="2062"/>
      <c r="BU619" s="2062"/>
      <c r="BV619" s="2062"/>
      <c r="BW619" s="2062"/>
      <c r="BX619" s="2062">
        <f t="shared" si="6"/>
        <v>0</v>
      </c>
      <c r="BY619" s="2062"/>
      <c r="BZ619" s="2062"/>
      <c r="CA619" s="2062"/>
      <c r="CB619" s="2062"/>
      <c r="CC619" s="2062">
        <f t="shared" si="7"/>
        <v>0</v>
      </c>
      <c r="CD619" s="2062"/>
      <c r="CE619" s="2062"/>
      <c r="CF619" s="2062"/>
      <c r="CG619" s="2062"/>
      <c r="CH619" s="2062">
        <f t="shared" si="8"/>
        <v>0</v>
      </c>
      <c r="CI619" s="2062"/>
      <c r="CJ619" s="2062"/>
      <c r="CK619" s="2062"/>
      <c r="CL619" s="2062"/>
      <c r="CM619" s="2062">
        <f t="shared" si="9"/>
        <v>0</v>
      </c>
      <c r="CN619" s="2062"/>
      <c r="CO619" s="2062"/>
      <c r="CP619" s="2062"/>
      <c r="CQ619" s="2062"/>
      <c r="CR619" s="264"/>
      <c r="CS619" s="2357">
        <f t="shared" si="10"/>
        <v>0</v>
      </c>
      <c r="CT619" s="2357"/>
      <c r="CU619" s="2357"/>
      <c r="CV619" s="2357"/>
      <c r="CW619" s="2357"/>
      <c r="CX619" s="2357">
        <f t="shared" si="11"/>
        <v>0</v>
      </c>
      <c r="CY619" s="2357"/>
      <c r="CZ619" s="2357"/>
      <c r="DA619" s="2357"/>
      <c r="DB619" s="2357"/>
      <c r="DC619" s="2357">
        <f t="shared" si="12"/>
        <v>0</v>
      </c>
      <c r="DD619" s="2357"/>
      <c r="DE619" s="2357"/>
      <c r="DF619" s="2357"/>
      <c r="DG619" s="2357"/>
      <c r="DH619" s="2357">
        <f t="shared" si="13"/>
        <v>0</v>
      </c>
      <c r="DI619" s="2357"/>
      <c r="DJ619" s="2357"/>
      <c r="DK619" s="2357"/>
      <c r="DL619" s="2357"/>
      <c r="DM619" s="2357">
        <f t="shared" si="14"/>
        <v>0</v>
      </c>
      <c r="DN619" s="2357"/>
      <c r="DO619" s="2357"/>
      <c r="DP619" s="2357"/>
      <c r="DQ619" s="2357"/>
      <c r="DR619" s="2357">
        <f t="shared" si="15"/>
        <v>0</v>
      </c>
      <c r="DS619" s="2357"/>
      <c r="DT619" s="2357"/>
      <c r="DU619" s="2357"/>
      <c r="DV619" s="2357"/>
      <c r="DX619" s="2053" t="str">
        <f t="shared" si="16"/>
        <v xml:space="preserve"> </v>
      </c>
      <c r="DY619" s="2185"/>
      <c r="DZ619" s="2185"/>
      <c r="EA619" s="2185"/>
      <c r="EB619" s="2054"/>
      <c r="EC619" s="2053">
        <f t="shared" si="17"/>
        <v>660</v>
      </c>
      <c r="ED619" s="2185"/>
      <c r="EE619" s="2185"/>
      <c r="EF619" s="2185"/>
      <c r="EG619" s="2054"/>
      <c r="EH619" s="2053" t="str">
        <f t="shared" si="18"/>
        <v xml:space="preserve"> </v>
      </c>
      <c r="EI619" s="2185"/>
      <c r="EJ619" s="2185"/>
      <c r="EK619" s="2185"/>
      <c r="EL619" s="2054"/>
      <c r="EM619" s="2053" t="str">
        <f t="shared" si="19"/>
        <v xml:space="preserve"> </v>
      </c>
      <c r="EN619" s="2185"/>
      <c r="EO619" s="2185"/>
      <c r="EP619" s="2185"/>
      <c r="EQ619" s="2054"/>
      <c r="ER619" s="2053" t="str">
        <f t="shared" si="20"/>
        <v xml:space="preserve"> </v>
      </c>
      <c r="ES619" s="2185"/>
      <c r="ET619" s="2185"/>
      <c r="EU619" s="2185"/>
      <c r="EV619" s="2054"/>
      <c r="EW619" s="2053" t="str">
        <f t="shared" si="21"/>
        <v xml:space="preserve"> </v>
      </c>
      <c r="EX619" s="2185"/>
      <c r="EY619" s="2185"/>
      <c r="EZ619" s="2185"/>
      <c r="FA619" s="2054"/>
    </row>
    <row r="620" spans="1:157" s="7" customFormat="1" ht="12.75">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53">
        <f t="shared" si="0"/>
        <v>0</v>
      </c>
      <c r="BF620" s="2054"/>
      <c r="BG620" s="2071">
        <f t="shared" si="1"/>
        <v>0</v>
      </c>
      <c r="BH620" s="2073"/>
      <c r="BI620" s="2053">
        <f t="shared" si="2"/>
        <v>0</v>
      </c>
      <c r="BJ620" s="2054"/>
      <c r="BK620" s="2071">
        <f t="shared" si="3"/>
        <v>0</v>
      </c>
      <c r="BL620" s="2073"/>
      <c r="BM620" s="58"/>
      <c r="BN620" s="2068">
        <f t="shared" si="4"/>
        <v>0</v>
      </c>
      <c r="BO620" s="2069"/>
      <c r="BP620" s="2069"/>
      <c r="BQ620" s="2069"/>
      <c r="BR620" s="2070"/>
      <c r="BS620" s="2062">
        <f t="shared" si="5"/>
        <v>0</v>
      </c>
      <c r="BT620" s="2062"/>
      <c r="BU620" s="2062"/>
      <c r="BV620" s="2062"/>
      <c r="BW620" s="2062"/>
      <c r="BX620" s="2062">
        <f t="shared" si="6"/>
        <v>0</v>
      </c>
      <c r="BY620" s="2062"/>
      <c r="BZ620" s="2062"/>
      <c r="CA620" s="2062"/>
      <c r="CB620" s="2062"/>
      <c r="CC620" s="2062">
        <f t="shared" si="7"/>
        <v>0</v>
      </c>
      <c r="CD620" s="2062"/>
      <c r="CE620" s="2062"/>
      <c r="CF620" s="2062"/>
      <c r="CG620" s="2062"/>
      <c r="CH620" s="2062">
        <f t="shared" si="8"/>
        <v>0</v>
      </c>
      <c r="CI620" s="2062"/>
      <c r="CJ620" s="2062"/>
      <c r="CK620" s="2062"/>
      <c r="CL620" s="2062"/>
      <c r="CM620" s="2062">
        <f t="shared" si="9"/>
        <v>0</v>
      </c>
      <c r="CN620" s="2062"/>
      <c r="CO620" s="2062"/>
      <c r="CP620" s="2062"/>
      <c r="CQ620" s="2062"/>
      <c r="CR620" s="264"/>
      <c r="CS620" s="2357">
        <f t="shared" si="10"/>
        <v>0</v>
      </c>
      <c r="CT620" s="2357"/>
      <c r="CU620" s="2357"/>
      <c r="CV620" s="2357"/>
      <c r="CW620" s="2357"/>
      <c r="CX620" s="2357">
        <f t="shared" si="11"/>
        <v>0</v>
      </c>
      <c r="CY620" s="2357"/>
      <c r="CZ620" s="2357"/>
      <c r="DA620" s="2357"/>
      <c r="DB620" s="2357"/>
      <c r="DC620" s="2357">
        <f t="shared" si="12"/>
        <v>0</v>
      </c>
      <c r="DD620" s="2357"/>
      <c r="DE620" s="2357"/>
      <c r="DF620" s="2357"/>
      <c r="DG620" s="2357"/>
      <c r="DH620" s="2357">
        <f t="shared" si="13"/>
        <v>0</v>
      </c>
      <c r="DI620" s="2357"/>
      <c r="DJ620" s="2357"/>
      <c r="DK620" s="2357"/>
      <c r="DL620" s="2357"/>
      <c r="DM620" s="2357">
        <f t="shared" si="14"/>
        <v>0</v>
      </c>
      <c r="DN620" s="2357"/>
      <c r="DO620" s="2357"/>
      <c r="DP620" s="2357"/>
      <c r="DQ620" s="2357"/>
      <c r="DR620" s="2357">
        <f t="shared" si="15"/>
        <v>0</v>
      </c>
      <c r="DS620" s="2357"/>
      <c r="DT620" s="2357"/>
      <c r="DU620" s="2357"/>
      <c r="DV620" s="2357"/>
      <c r="DX620" s="2053" t="str">
        <f t="shared" si="16"/>
        <v xml:space="preserve"> </v>
      </c>
      <c r="DY620" s="2185"/>
      <c r="DZ620" s="2185"/>
      <c r="EA620" s="2185"/>
      <c r="EB620" s="2054"/>
      <c r="EC620" s="2053" t="str">
        <f t="shared" si="17"/>
        <v xml:space="preserve"> </v>
      </c>
      <c r="ED620" s="2185"/>
      <c r="EE620" s="2185"/>
      <c r="EF620" s="2185"/>
      <c r="EG620" s="2054"/>
      <c r="EH620" s="2053" t="str">
        <f t="shared" si="18"/>
        <v xml:space="preserve"> </v>
      </c>
      <c r="EI620" s="2185"/>
      <c r="EJ620" s="2185"/>
      <c r="EK620" s="2185"/>
      <c r="EL620" s="2054"/>
      <c r="EM620" s="2053" t="str">
        <f t="shared" si="19"/>
        <v xml:space="preserve"> </v>
      </c>
      <c r="EN620" s="2185"/>
      <c r="EO620" s="2185"/>
      <c r="EP620" s="2185"/>
      <c r="EQ620" s="2054"/>
      <c r="ER620" s="2053" t="str">
        <f t="shared" si="20"/>
        <v xml:space="preserve"> </v>
      </c>
      <c r="ES620" s="2185"/>
      <c r="ET620" s="2185"/>
      <c r="EU620" s="2185"/>
      <c r="EV620" s="2054"/>
      <c r="EW620" s="2053" t="str">
        <f t="shared" si="21"/>
        <v xml:space="preserve"> </v>
      </c>
      <c r="EX620" s="2185"/>
      <c r="EY620" s="2185"/>
      <c r="EZ620" s="2185"/>
      <c r="FA620" s="2054"/>
    </row>
    <row r="621" spans="1:157" ht="12.75">
      <c r="B621" s="12" t="s">
        <v>614</v>
      </c>
      <c r="G621" s="2040"/>
      <c r="H621" s="2040"/>
      <c r="I621" s="2040"/>
      <c r="J621" s="2040"/>
      <c r="K621" s="2040"/>
      <c r="L621" s="2040"/>
      <c r="M621" s="2040"/>
      <c r="N621" s="2040"/>
      <c r="O621" s="2040"/>
      <c r="P621" s="2040"/>
      <c r="Q621" s="2040"/>
      <c r="R621" s="2040"/>
      <c r="U621" s="12" t="s">
        <v>614</v>
      </c>
      <c r="Z621" s="2032"/>
      <c r="AA621" s="2032"/>
      <c r="AB621" s="2032"/>
      <c r="AC621" s="2032"/>
      <c r="AD621" s="2032"/>
      <c r="AE621" s="2032"/>
      <c r="AF621" s="2032"/>
      <c r="AG621" s="2032"/>
      <c r="AH621" s="2032"/>
      <c r="AI621" s="2032"/>
      <c r="AJ621" s="2032"/>
      <c r="AK621" s="2032"/>
      <c r="AZ621" s="58"/>
      <c r="BA621" s="58"/>
      <c r="BB621" s="58"/>
      <c r="BC621" s="58"/>
      <c r="BD621" s="58"/>
      <c r="BE621" s="2053">
        <f t="shared" si="0"/>
        <v>0</v>
      </c>
      <c r="BF621" s="2054"/>
      <c r="BG621" s="2071">
        <f t="shared" si="1"/>
        <v>0</v>
      </c>
      <c r="BH621" s="2073"/>
      <c r="BI621" s="2053">
        <f t="shared" si="2"/>
        <v>0</v>
      </c>
      <c r="BJ621" s="2054"/>
      <c r="BK621" s="2071">
        <f t="shared" si="3"/>
        <v>0</v>
      </c>
      <c r="BL621" s="2073"/>
      <c r="BM621" s="58"/>
      <c r="BN621" s="2068">
        <f t="shared" si="4"/>
        <v>0</v>
      </c>
      <c r="BO621" s="2069"/>
      <c r="BP621" s="2069"/>
      <c r="BQ621" s="2069"/>
      <c r="BR621" s="2070"/>
      <c r="BS621" s="2062">
        <f t="shared" si="5"/>
        <v>0</v>
      </c>
      <c r="BT621" s="2062"/>
      <c r="BU621" s="2062"/>
      <c r="BV621" s="2062"/>
      <c r="BW621" s="2062"/>
      <c r="BX621" s="2062">
        <f t="shared" si="6"/>
        <v>0</v>
      </c>
      <c r="BY621" s="2062"/>
      <c r="BZ621" s="2062"/>
      <c r="CA621" s="2062"/>
      <c r="CB621" s="2062"/>
      <c r="CC621" s="2062">
        <f t="shared" si="7"/>
        <v>0</v>
      </c>
      <c r="CD621" s="2062"/>
      <c r="CE621" s="2062"/>
      <c r="CF621" s="2062"/>
      <c r="CG621" s="2062"/>
      <c r="CH621" s="2062">
        <f t="shared" si="8"/>
        <v>0</v>
      </c>
      <c r="CI621" s="2062"/>
      <c r="CJ621" s="2062"/>
      <c r="CK621" s="2062"/>
      <c r="CL621" s="2062"/>
      <c r="CM621" s="2062">
        <f t="shared" si="9"/>
        <v>0</v>
      </c>
      <c r="CN621" s="2062"/>
      <c r="CO621" s="2062"/>
      <c r="CP621" s="2062"/>
      <c r="CQ621" s="2062"/>
      <c r="CR621" s="264"/>
      <c r="CS621" s="2357">
        <f t="shared" si="10"/>
        <v>0</v>
      </c>
      <c r="CT621" s="2357"/>
      <c r="CU621" s="2357"/>
      <c r="CV621" s="2357"/>
      <c r="CW621" s="2357"/>
      <c r="CX621" s="2357">
        <f t="shared" si="11"/>
        <v>0</v>
      </c>
      <c r="CY621" s="2357"/>
      <c r="CZ621" s="2357"/>
      <c r="DA621" s="2357"/>
      <c r="DB621" s="2357"/>
      <c r="DC621" s="2357">
        <f t="shared" si="12"/>
        <v>0</v>
      </c>
      <c r="DD621" s="2357"/>
      <c r="DE621" s="2357"/>
      <c r="DF621" s="2357"/>
      <c r="DG621" s="2357"/>
      <c r="DH621" s="2357">
        <f t="shared" si="13"/>
        <v>0</v>
      </c>
      <c r="DI621" s="2357"/>
      <c r="DJ621" s="2357"/>
      <c r="DK621" s="2357"/>
      <c r="DL621" s="2357"/>
      <c r="DM621" s="2357">
        <f t="shared" si="14"/>
        <v>0</v>
      </c>
      <c r="DN621" s="2357"/>
      <c r="DO621" s="2357"/>
      <c r="DP621" s="2357"/>
      <c r="DQ621" s="2357"/>
      <c r="DR621" s="2357">
        <f t="shared" si="15"/>
        <v>0</v>
      </c>
      <c r="DS621" s="2357"/>
      <c r="DT621" s="2357"/>
      <c r="DU621" s="2357"/>
      <c r="DV621" s="2357"/>
      <c r="DX621" s="2053" t="str">
        <f t="shared" si="16"/>
        <v xml:space="preserve"> </v>
      </c>
      <c r="DY621" s="2185"/>
      <c r="DZ621" s="2185"/>
      <c r="EA621" s="2185"/>
      <c r="EB621" s="2054"/>
      <c r="EC621" s="2053" t="str">
        <f t="shared" si="17"/>
        <v xml:space="preserve"> </v>
      </c>
      <c r="ED621" s="2185"/>
      <c r="EE621" s="2185"/>
      <c r="EF621" s="2185"/>
      <c r="EG621" s="2054"/>
      <c r="EH621" s="2053" t="str">
        <f t="shared" si="18"/>
        <v xml:space="preserve"> </v>
      </c>
      <c r="EI621" s="2185"/>
      <c r="EJ621" s="2185"/>
      <c r="EK621" s="2185"/>
      <c r="EL621" s="2054"/>
      <c r="EM621" s="2053" t="str">
        <f t="shared" si="19"/>
        <v xml:space="preserve"> </v>
      </c>
      <c r="EN621" s="2185"/>
      <c r="EO621" s="2185"/>
      <c r="EP621" s="2185"/>
      <c r="EQ621" s="2054"/>
      <c r="ER621" s="2053" t="str">
        <f t="shared" si="20"/>
        <v xml:space="preserve"> </v>
      </c>
      <c r="ES621" s="2185"/>
      <c r="ET621" s="2185"/>
      <c r="EU621" s="2185"/>
      <c r="EV621" s="2054"/>
      <c r="EW621" s="2053" t="str">
        <f t="shared" si="21"/>
        <v xml:space="preserve"> </v>
      </c>
      <c r="EX621" s="2185"/>
      <c r="EY621" s="2185"/>
      <c r="EZ621" s="2185"/>
      <c r="FA621" s="2054"/>
    </row>
    <row r="622" spans="1:157" ht="12.75">
      <c r="B622" s="12" t="s">
        <v>17</v>
      </c>
      <c r="G622" s="2040"/>
      <c r="H622" s="2040"/>
      <c r="I622" s="2040"/>
      <c r="J622" s="2040"/>
      <c r="K622" s="2040"/>
      <c r="L622" s="2040"/>
      <c r="M622" s="2040"/>
      <c r="N622" s="2040"/>
      <c r="O622" s="2040"/>
      <c r="P622" s="2040"/>
      <c r="Q622" s="2040"/>
      <c r="R622" s="2040"/>
      <c r="U622" s="12" t="s">
        <v>17</v>
      </c>
      <c r="Z622" s="2032"/>
      <c r="AA622" s="2032"/>
      <c r="AB622" s="2032"/>
      <c r="AC622" s="2032"/>
      <c r="AD622" s="2032"/>
      <c r="AE622" s="2032"/>
      <c r="AF622" s="2032"/>
      <c r="AG622" s="2032"/>
      <c r="AH622" s="2032"/>
      <c r="AI622" s="2032"/>
      <c r="AJ622" s="2032"/>
      <c r="AK622" s="2032"/>
      <c r="AZ622" s="58"/>
      <c r="BA622" s="58"/>
      <c r="BB622" s="58"/>
      <c r="BC622" s="58"/>
      <c r="BD622" s="58"/>
      <c r="BE622" s="2053">
        <f t="shared" si="0"/>
        <v>0</v>
      </c>
      <c r="BF622" s="2054"/>
      <c r="BG622" s="2071">
        <f t="shared" si="1"/>
        <v>0</v>
      </c>
      <c r="BH622" s="2073"/>
      <c r="BI622" s="2053">
        <f t="shared" si="2"/>
        <v>0</v>
      </c>
      <c r="BJ622" s="2054"/>
      <c r="BK622" s="2071">
        <f t="shared" si="3"/>
        <v>0</v>
      </c>
      <c r="BL622" s="2073"/>
      <c r="BM622" s="58"/>
      <c r="BN622" s="2068">
        <f t="shared" si="4"/>
        <v>0</v>
      </c>
      <c r="BO622" s="2069"/>
      <c r="BP622" s="2069"/>
      <c r="BQ622" s="2069"/>
      <c r="BR622" s="2070"/>
      <c r="BS622" s="2062">
        <f t="shared" si="5"/>
        <v>0</v>
      </c>
      <c r="BT622" s="2062"/>
      <c r="BU622" s="2062"/>
      <c r="BV622" s="2062"/>
      <c r="BW622" s="2062"/>
      <c r="BX622" s="2062">
        <f t="shared" si="6"/>
        <v>0</v>
      </c>
      <c r="BY622" s="2062"/>
      <c r="BZ622" s="2062"/>
      <c r="CA622" s="2062"/>
      <c r="CB622" s="2062"/>
      <c r="CC622" s="2062">
        <f t="shared" si="7"/>
        <v>0</v>
      </c>
      <c r="CD622" s="2062"/>
      <c r="CE622" s="2062"/>
      <c r="CF622" s="2062"/>
      <c r="CG622" s="2062"/>
      <c r="CH622" s="2062">
        <f t="shared" si="8"/>
        <v>0</v>
      </c>
      <c r="CI622" s="2062"/>
      <c r="CJ622" s="2062"/>
      <c r="CK622" s="2062"/>
      <c r="CL622" s="2062"/>
      <c r="CM622" s="2062">
        <f t="shared" si="9"/>
        <v>0</v>
      </c>
      <c r="CN622" s="2062"/>
      <c r="CO622" s="2062"/>
      <c r="CP622" s="2062"/>
      <c r="CQ622" s="2062"/>
      <c r="CR622" s="264"/>
      <c r="CS622" s="2357">
        <f t="shared" si="10"/>
        <v>0</v>
      </c>
      <c r="CT622" s="2357"/>
      <c r="CU622" s="2357"/>
      <c r="CV622" s="2357"/>
      <c r="CW622" s="2357"/>
      <c r="CX622" s="2357">
        <f t="shared" si="11"/>
        <v>0</v>
      </c>
      <c r="CY622" s="2357"/>
      <c r="CZ622" s="2357"/>
      <c r="DA622" s="2357"/>
      <c r="DB622" s="2357"/>
      <c r="DC622" s="2357">
        <f t="shared" si="12"/>
        <v>0</v>
      </c>
      <c r="DD622" s="2357"/>
      <c r="DE622" s="2357"/>
      <c r="DF622" s="2357"/>
      <c r="DG622" s="2357"/>
      <c r="DH622" s="2357">
        <f t="shared" si="13"/>
        <v>0</v>
      </c>
      <c r="DI622" s="2357"/>
      <c r="DJ622" s="2357"/>
      <c r="DK622" s="2357"/>
      <c r="DL622" s="2357"/>
      <c r="DM622" s="2357">
        <f t="shared" si="14"/>
        <v>0</v>
      </c>
      <c r="DN622" s="2357"/>
      <c r="DO622" s="2357"/>
      <c r="DP622" s="2357"/>
      <c r="DQ622" s="2357"/>
      <c r="DR622" s="2357">
        <f t="shared" si="15"/>
        <v>0</v>
      </c>
      <c r="DS622" s="2357"/>
      <c r="DT622" s="2357"/>
      <c r="DU622" s="2357"/>
      <c r="DV622" s="2357"/>
      <c r="DX622" s="2053" t="str">
        <f t="shared" si="16"/>
        <v xml:space="preserve"> </v>
      </c>
      <c r="DY622" s="2185"/>
      <c r="DZ622" s="2185"/>
      <c r="EA622" s="2185"/>
      <c r="EB622" s="2054"/>
      <c r="EC622" s="2053" t="str">
        <f t="shared" si="17"/>
        <v xml:space="preserve"> </v>
      </c>
      <c r="ED622" s="2185"/>
      <c r="EE622" s="2185"/>
      <c r="EF622" s="2185"/>
      <c r="EG622" s="2054"/>
      <c r="EH622" s="2053" t="str">
        <f t="shared" si="18"/>
        <v xml:space="preserve"> </v>
      </c>
      <c r="EI622" s="2185"/>
      <c r="EJ622" s="2185"/>
      <c r="EK622" s="2185"/>
      <c r="EL622" s="2054"/>
      <c r="EM622" s="2053" t="str">
        <f t="shared" si="19"/>
        <v xml:space="preserve"> </v>
      </c>
      <c r="EN622" s="2185"/>
      <c r="EO622" s="2185"/>
      <c r="EP622" s="2185"/>
      <c r="EQ622" s="2054"/>
      <c r="ER622" s="2053" t="str">
        <f t="shared" si="20"/>
        <v xml:space="preserve"> </v>
      </c>
      <c r="ES622" s="2185"/>
      <c r="ET622" s="2185"/>
      <c r="EU622" s="2185"/>
      <c r="EV622" s="2054"/>
      <c r="EW622" s="2053" t="str">
        <f t="shared" si="21"/>
        <v xml:space="preserve"> </v>
      </c>
      <c r="EX622" s="2185"/>
      <c r="EY622" s="2185"/>
      <c r="EZ622" s="2185"/>
      <c r="FA622" s="2054"/>
    </row>
    <row r="623" spans="1:157" ht="12.75">
      <c r="B623" s="12" t="s">
        <v>324</v>
      </c>
      <c r="G623" s="2056"/>
      <c r="H623" s="2056"/>
      <c r="I623" s="2056"/>
      <c r="J623" s="2056"/>
      <c r="K623" s="2056"/>
      <c r="L623" s="2056"/>
      <c r="O623" s="137" t="s">
        <v>211</v>
      </c>
      <c r="P623" s="2045"/>
      <c r="Q623" s="2045"/>
      <c r="R623" s="2045"/>
      <c r="U623" s="12" t="s">
        <v>324</v>
      </c>
      <c r="Z623" s="2056"/>
      <c r="AA623" s="2056"/>
      <c r="AB623" s="2056"/>
      <c r="AC623" s="2056"/>
      <c r="AD623" s="2056"/>
      <c r="AE623" s="2056"/>
      <c r="AH623" s="137" t="s">
        <v>211</v>
      </c>
      <c r="AI623" s="2045"/>
      <c r="AJ623" s="2045"/>
      <c r="AK623" s="2045"/>
      <c r="AZ623" s="58"/>
      <c r="BA623" s="58"/>
      <c r="BB623" s="58"/>
      <c r="BC623" s="58"/>
      <c r="BD623" s="58"/>
      <c r="BE623" s="2053">
        <f t="shared" si="0"/>
        <v>0</v>
      </c>
      <c r="BF623" s="2054"/>
      <c r="BG623" s="2071">
        <f t="shared" si="1"/>
        <v>0</v>
      </c>
      <c r="BH623" s="2073"/>
      <c r="BI623" s="2053">
        <f t="shared" si="2"/>
        <v>0</v>
      </c>
      <c r="BJ623" s="2054"/>
      <c r="BK623" s="2071">
        <f t="shared" si="3"/>
        <v>0</v>
      </c>
      <c r="BL623" s="2073"/>
      <c r="BM623" s="58"/>
      <c r="BN623" s="2068">
        <f t="shared" si="4"/>
        <v>0</v>
      </c>
      <c r="BO623" s="2069"/>
      <c r="BP623" s="2069"/>
      <c r="BQ623" s="2069"/>
      <c r="BR623" s="2070"/>
      <c r="BS623" s="2062">
        <f t="shared" si="5"/>
        <v>0</v>
      </c>
      <c r="BT623" s="2062"/>
      <c r="BU623" s="2062"/>
      <c r="BV623" s="2062"/>
      <c r="BW623" s="2062"/>
      <c r="BX623" s="2062">
        <f t="shared" si="6"/>
        <v>0</v>
      </c>
      <c r="BY623" s="2062"/>
      <c r="BZ623" s="2062"/>
      <c r="CA623" s="2062"/>
      <c r="CB623" s="2062"/>
      <c r="CC623" s="2062">
        <f t="shared" si="7"/>
        <v>0</v>
      </c>
      <c r="CD623" s="2062"/>
      <c r="CE623" s="2062"/>
      <c r="CF623" s="2062"/>
      <c r="CG623" s="2062"/>
      <c r="CH623" s="2062">
        <f t="shared" si="8"/>
        <v>0</v>
      </c>
      <c r="CI623" s="2062"/>
      <c r="CJ623" s="2062"/>
      <c r="CK623" s="2062"/>
      <c r="CL623" s="2062"/>
      <c r="CM623" s="2062">
        <f t="shared" si="9"/>
        <v>0</v>
      </c>
      <c r="CN623" s="2062"/>
      <c r="CO623" s="2062"/>
      <c r="CP623" s="2062"/>
      <c r="CQ623" s="2062"/>
      <c r="CR623" s="264"/>
      <c r="CS623" s="2357">
        <f t="shared" si="10"/>
        <v>0</v>
      </c>
      <c r="CT623" s="2357"/>
      <c r="CU623" s="2357"/>
      <c r="CV623" s="2357"/>
      <c r="CW623" s="2357"/>
      <c r="CX623" s="2357">
        <f t="shared" si="11"/>
        <v>0</v>
      </c>
      <c r="CY623" s="2357"/>
      <c r="CZ623" s="2357"/>
      <c r="DA623" s="2357"/>
      <c r="DB623" s="2357"/>
      <c r="DC623" s="2357">
        <f t="shared" si="12"/>
        <v>0</v>
      </c>
      <c r="DD623" s="2357"/>
      <c r="DE623" s="2357"/>
      <c r="DF623" s="2357"/>
      <c r="DG623" s="2357"/>
      <c r="DH623" s="2357">
        <f t="shared" si="13"/>
        <v>0</v>
      </c>
      <c r="DI623" s="2357"/>
      <c r="DJ623" s="2357"/>
      <c r="DK623" s="2357"/>
      <c r="DL623" s="2357"/>
      <c r="DM623" s="2357">
        <f t="shared" si="14"/>
        <v>0</v>
      </c>
      <c r="DN623" s="2357"/>
      <c r="DO623" s="2357"/>
      <c r="DP623" s="2357"/>
      <c r="DQ623" s="2357"/>
      <c r="DR623" s="2357">
        <f t="shared" si="15"/>
        <v>0</v>
      </c>
      <c r="DS623" s="2357"/>
      <c r="DT623" s="2357"/>
      <c r="DU623" s="2357"/>
      <c r="DV623" s="2357"/>
      <c r="DX623" s="2053" t="str">
        <f t="shared" si="16"/>
        <v xml:space="preserve"> </v>
      </c>
      <c r="DY623" s="2185"/>
      <c r="DZ623" s="2185"/>
      <c r="EA623" s="2185"/>
      <c r="EB623" s="2054"/>
      <c r="EC623" s="2053" t="str">
        <f t="shared" si="17"/>
        <v xml:space="preserve"> </v>
      </c>
      <c r="ED623" s="2185"/>
      <c r="EE623" s="2185"/>
      <c r="EF623" s="2185"/>
      <c r="EG623" s="2054"/>
      <c r="EH623" s="2053" t="str">
        <f t="shared" si="18"/>
        <v xml:space="preserve"> </v>
      </c>
      <c r="EI623" s="2185"/>
      <c r="EJ623" s="2185"/>
      <c r="EK623" s="2185"/>
      <c r="EL623" s="2054"/>
      <c r="EM623" s="2053" t="str">
        <f t="shared" si="19"/>
        <v xml:space="preserve"> </v>
      </c>
      <c r="EN623" s="2185"/>
      <c r="EO623" s="2185"/>
      <c r="EP623" s="2185"/>
      <c r="EQ623" s="2054"/>
      <c r="ER623" s="2053" t="str">
        <f t="shared" si="20"/>
        <v xml:space="preserve"> </v>
      </c>
      <c r="ES623" s="2185"/>
      <c r="ET623" s="2185"/>
      <c r="EU623" s="2185"/>
      <c r="EV623" s="2054"/>
      <c r="EW623" s="2053" t="str">
        <f t="shared" si="21"/>
        <v xml:space="preserve"> </v>
      </c>
      <c r="EX623" s="2185"/>
      <c r="EY623" s="2185"/>
      <c r="EZ623" s="2185"/>
      <c r="FA623" s="2054"/>
    </row>
    <row r="624" spans="1:157" ht="12.75">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53">
        <f t="shared" si="0"/>
        <v>0</v>
      </c>
      <c r="BF624" s="2054"/>
      <c r="BG624" s="2071">
        <f t="shared" si="1"/>
        <v>0</v>
      </c>
      <c r="BH624" s="2073"/>
      <c r="BI624" s="2053">
        <f t="shared" si="2"/>
        <v>0</v>
      </c>
      <c r="BJ624" s="2054"/>
      <c r="BK624" s="2071">
        <f t="shared" si="3"/>
        <v>0</v>
      </c>
      <c r="BL624" s="2073"/>
      <c r="BM624" s="58"/>
      <c r="BN624" s="2068">
        <f t="shared" si="4"/>
        <v>0</v>
      </c>
      <c r="BO624" s="2069"/>
      <c r="BP624" s="2069"/>
      <c r="BQ624" s="2069"/>
      <c r="BR624" s="2070"/>
      <c r="BS624" s="2062">
        <f t="shared" si="5"/>
        <v>0</v>
      </c>
      <c r="BT624" s="2062"/>
      <c r="BU624" s="2062"/>
      <c r="BV624" s="2062"/>
      <c r="BW624" s="2062"/>
      <c r="BX624" s="2062">
        <f t="shared" si="6"/>
        <v>0</v>
      </c>
      <c r="BY624" s="2062"/>
      <c r="BZ624" s="2062"/>
      <c r="CA624" s="2062"/>
      <c r="CB624" s="2062"/>
      <c r="CC624" s="2062">
        <f t="shared" si="7"/>
        <v>0</v>
      </c>
      <c r="CD624" s="2062"/>
      <c r="CE624" s="2062"/>
      <c r="CF624" s="2062"/>
      <c r="CG624" s="2062"/>
      <c r="CH624" s="2062">
        <f t="shared" si="8"/>
        <v>0</v>
      </c>
      <c r="CI624" s="2062"/>
      <c r="CJ624" s="2062"/>
      <c r="CK624" s="2062"/>
      <c r="CL624" s="2062"/>
      <c r="CM624" s="2062">
        <f t="shared" si="9"/>
        <v>0</v>
      </c>
      <c r="CN624" s="2062"/>
      <c r="CO624" s="2062"/>
      <c r="CP624" s="2062"/>
      <c r="CQ624" s="2062"/>
      <c r="CR624" s="264"/>
      <c r="CS624" s="2357">
        <f t="shared" si="10"/>
        <v>0</v>
      </c>
      <c r="CT624" s="2357"/>
      <c r="CU624" s="2357"/>
      <c r="CV624" s="2357"/>
      <c r="CW624" s="2357"/>
      <c r="CX624" s="2357">
        <f t="shared" si="11"/>
        <v>0</v>
      </c>
      <c r="CY624" s="2357"/>
      <c r="CZ624" s="2357"/>
      <c r="DA624" s="2357"/>
      <c r="DB624" s="2357"/>
      <c r="DC624" s="2357">
        <f t="shared" si="12"/>
        <v>0</v>
      </c>
      <c r="DD624" s="2357"/>
      <c r="DE624" s="2357"/>
      <c r="DF624" s="2357"/>
      <c r="DG624" s="2357"/>
      <c r="DH624" s="2357">
        <f t="shared" si="13"/>
        <v>0</v>
      </c>
      <c r="DI624" s="2357"/>
      <c r="DJ624" s="2357"/>
      <c r="DK624" s="2357"/>
      <c r="DL624" s="2357"/>
      <c r="DM624" s="2357">
        <f t="shared" si="14"/>
        <v>0</v>
      </c>
      <c r="DN624" s="2357"/>
      <c r="DO624" s="2357"/>
      <c r="DP624" s="2357"/>
      <c r="DQ624" s="2357"/>
      <c r="DR624" s="2357">
        <f t="shared" si="15"/>
        <v>0</v>
      </c>
      <c r="DS624" s="2357"/>
      <c r="DT624" s="2357"/>
      <c r="DU624" s="2357"/>
      <c r="DV624" s="2357"/>
      <c r="DX624" s="2053" t="str">
        <f t="shared" si="16"/>
        <v xml:space="preserve"> </v>
      </c>
      <c r="DY624" s="2185"/>
      <c r="DZ624" s="2185"/>
      <c r="EA624" s="2185"/>
      <c r="EB624" s="2054"/>
      <c r="EC624" s="2053" t="str">
        <f t="shared" si="17"/>
        <v xml:space="preserve"> </v>
      </c>
      <c r="ED624" s="2185"/>
      <c r="EE624" s="2185"/>
      <c r="EF624" s="2185"/>
      <c r="EG624" s="2054"/>
      <c r="EH624" s="2053" t="str">
        <f t="shared" si="18"/>
        <v xml:space="preserve"> </v>
      </c>
      <c r="EI624" s="2185"/>
      <c r="EJ624" s="2185"/>
      <c r="EK624" s="2185"/>
      <c r="EL624" s="2054"/>
      <c r="EM624" s="2053" t="str">
        <f t="shared" si="19"/>
        <v xml:space="preserve"> </v>
      </c>
      <c r="EN624" s="2185"/>
      <c r="EO624" s="2185"/>
      <c r="EP624" s="2185"/>
      <c r="EQ624" s="2054"/>
      <c r="ER624" s="2053" t="str">
        <f t="shared" si="20"/>
        <v xml:space="preserve"> </v>
      </c>
      <c r="ES624" s="2185"/>
      <c r="ET624" s="2185"/>
      <c r="EU624" s="2185"/>
      <c r="EV624" s="2054"/>
      <c r="EW624" s="2053" t="str">
        <f t="shared" si="21"/>
        <v xml:space="preserve"> </v>
      </c>
      <c r="EX624" s="2185"/>
      <c r="EY624" s="2185"/>
      <c r="EZ624" s="2185"/>
      <c r="FA624" s="2054"/>
    </row>
    <row r="625" spans="1:157" ht="12.75">
      <c r="B625" s="12" t="s">
        <v>20</v>
      </c>
      <c r="N625" s="2055" t="s">
        <v>705</v>
      </c>
      <c r="O625" s="2055"/>
      <c r="U625" s="12" t="s">
        <v>20</v>
      </c>
      <c r="AG625" s="2055" t="s">
        <v>705</v>
      </c>
      <c r="AH625" s="2055"/>
      <c r="AZ625" s="58"/>
      <c r="BA625" s="58"/>
      <c r="BB625" s="58"/>
      <c r="BC625" s="58"/>
      <c r="BD625" s="58"/>
      <c r="BE625" s="2053">
        <f t="shared" si="0"/>
        <v>0</v>
      </c>
      <c r="BF625" s="2054"/>
      <c r="BG625" s="2071">
        <f t="shared" si="1"/>
        <v>0</v>
      </c>
      <c r="BH625" s="2073"/>
      <c r="BI625" s="2053">
        <f t="shared" si="2"/>
        <v>0</v>
      </c>
      <c r="BJ625" s="2054"/>
      <c r="BK625" s="2071">
        <f t="shared" si="3"/>
        <v>0</v>
      </c>
      <c r="BL625" s="2073"/>
      <c r="BM625" s="58"/>
      <c r="BN625" s="2068">
        <f t="shared" si="4"/>
        <v>0</v>
      </c>
      <c r="BO625" s="2069"/>
      <c r="BP625" s="2069"/>
      <c r="BQ625" s="2069"/>
      <c r="BR625" s="2070"/>
      <c r="BS625" s="2062">
        <f t="shared" si="5"/>
        <v>0</v>
      </c>
      <c r="BT625" s="2062"/>
      <c r="BU625" s="2062"/>
      <c r="BV625" s="2062"/>
      <c r="BW625" s="2062"/>
      <c r="BX625" s="2062">
        <f t="shared" si="6"/>
        <v>0</v>
      </c>
      <c r="BY625" s="2062"/>
      <c r="BZ625" s="2062"/>
      <c r="CA625" s="2062"/>
      <c r="CB625" s="2062"/>
      <c r="CC625" s="2062">
        <f t="shared" si="7"/>
        <v>0</v>
      </c>
      <c r="CD625" s="2062"/>
      <c r="CE625" s="2062"/>
      <c r="CF625" s="2062"/>
      <c r="CG625" s="2062"/>
      <c r="CH625" s="2062">
        <f t="shared" si="8"/>
        <v>0</v>
      </c>
      <c r="CI625" s="2062"/>
      <c r="CJ625" s="2062"/>
      <c r="CK625" s="2062"/>
      <c r="CL625" s="2062"/>
      <c r="CM625" s="2062">
        <f t="shared" si="9"/>
        <v>0</v>
      </c>
      <c r="CN625" s="2062"/>
      <c r="CO625" s="2062"/>
      <c r="CP625" s="2062"/>
      <c r="CQ625" s="2062"/>
      <c r="CR625" s="264"/>
      <c r="CS625" s="2357">
        <f t="shared" si="10"/>
        <v>0</v>
      </c>
      <c r="CT625" s="2357"/>
      <c r="CU625" s="2357"/>
      <c r="CV625" s="2357"/>
      <c r="CW625" s="2357"/>
      <c r="CX625" s="2357">
        <f t="shared" si="11"/>
        <v>0</v>
      </c>
      <c r="CY625" s="2357"/>
      <c r="CZ625" s="2357"/>
      <c r="DA625" s="2357"/>
      <c r="DB625" s="2357"/>
      <c r="DC625" s="2357">
        <f t="shared" si="12"/>
        <v>0</v>
      </c>
      <c r="DD625" s="2357"/>
      <c r="DE625" s="2357"/>
      <c r="DF625" s="2357"/>
      <c r="DG625" s="2357"/>
      <c r="DH625" s="2357">
        <f t="shared" si="13"/>
        <v>0</v>
      </c>
      <c r="DI625" s="2357"/>
      <c r="DJ625" s="2357"/>
      <c r="DK625" s="2357"/>
      <c r="DL625" s="2357"/>
      <c r="DM625" s="2357">
        <f t="shared" si="14"/>
        <v>0</v>
      </c>
      <c r="DN625" s="2357"/>
      <c r="DO625" s="2357"/>
      <c r="DP625" s="2357"/>
      <c r="DQ625" s="2357"/>
      <c r="DR625" s="2357">
        <f t="shared" si="15"/>
        <v>0</v>
      </c>
      <c r="DS625" s="2357"/>
      <c r="DT625" s="2357"/>
      <c r="DU625" s="2357"/>
      <c r="DV625" s="2357"/>
      <c r="DX625" s="2053" t="str">
        <f t="shared" si="16"/>
        <v xml:space="preserve"> </v>
      </c>
      <c r="DY625" s="2185"/>
      <c r="DZ625" s="2185"/>
      <c r="EA625" s="2185"/>
      <c r="EB625" s="2054"/>
      <c r="EC625" s="2053" t="str">
        <f t="shared" si="17"/>
        <v xml:space="preserve"> </v>
      </c>
      <c r="ED625" s="2185"/>
      <c r="EE625" s="2185"/>
      <c r="EF625" s="2185"/>
      <c r="EG625" s="2054"/>
      <c r="EH625" s="2053" t="str">
        <f t="shared" si="18"/>
        <v xml:space="preserve"> </v>
      </c>
      <c r="EI625" s="2185"/>
      <c r="EJ625" s="2185"/>
      <c r="EK625" s="2185"/>
      <c r="EL625" s="2054"/>
      <c r="EM625" s="2053" t="str">
        <f t="shared" si="19"/>
        <v xml:space="preserve"> </v>
      </c>
      <c r="EN625" s="2185"/>
      <c r="EO625" s="2185"/>
      <c r="EP625" s="2185"/>
      <c r="EQ625" s="2054"/>
      <c r="ER625" s="2053" t="str">
        <f t="shared" si="20"/>
        <v xml:space="preserve"> </v>
      </c>
      <c r="ES625" s="2185"/>
      <c r="ET625" s="2185"/>
      <c r="EU625" s="2185"/>
      <c r="EV625" s="2054"/>
      <c r="EW625" s="2053" t="str">
        <f t="shared" si="21"/>
        <v xml:space="preserve"> </v>
      </c>
      <c r="EX625" s="2185"/>
      <c r="EY625" s="2185"/>
      <c r="EZ625" s="2185"/>
      <c r="FA625" s="2054"/>
    </row>
    <row r="626" spans="1:157" ht="12.75">
      <c r="AZ626" s="58"/>
      <c r="BA626" s="58"/>
      <c r="BB626" s="58"/>
      <c r="BC626" s="58"/>
      <c r="BD626" s="58"/>
      <c r="BE626" s="2053">
        <f t="shared" si="0"/>
        <v>0</v>
      </c>
      <c r="BF626" s="2054"/>
      <c r="BG626" s="2071">
        <f t="shared" si="1"/>
        <v>0</v>
      </c>
      <c r="BH626" s="2073"/>
      <c r="BI626" s="2053">
        <f t="shared" si="2"/>
        <v>0</v>
      </c>
      <c r="BJ626" s="2054"/>
      <c r="BK626" s="2071">
        <f t="shared" si="3"/>
        <v>0</v>
      </c>
      <c r="BL626" s="2073"/>
      <c r="BM626" s="58"/>
      <c r="BN626" s="2068">
        <f t="shared" si="4"/>
        <v>0</v>
      </c>
      <c r="BO626" s="2069"/>
      <c r="BP626" s="2069"/>
      <c r="BQ626" s="2069"/>
      <c r="BR626" s="2070"/>
      <c r="BS626" s="2062">
        <f t="shared" si="5"/>
        <v>0</v>
      </c>
      <c r="BT626" s="2062"/>
      <c r="BU626" s="2062"/>
      <c r="BV626" s="2062"/>
      <c r="BW626" s="2062"/>
      <c r="BX626" s="2062">
        <f t="shared" si="6"/>
        <v>0</v>
      </c>
      <c r="BY626" s="2062"/>
      <c r="BZ626" s="2062"/>
      <c r="CA626" s="2062"/>
      <c r="CB626" s="2062"/>
      <c r="CC626" s="2062">
        <f t="shared" si="7"/>
        <v>0</v>
      </c>
      <c r="CD626" s="2062"/>
      <c r="CE626" s="2062"/>
      <c r="CF626" s="2062"/>
      <c r="CG626" s="2062"/>
      <c r="CH626" s="2062">
        <f t="shared" si="8"/>
        <v>0</v>
      </c>
      <c r="CI626" s="2062"/>
      <c r="CJ626" s="2062"/>
      <c r="CK626" s="2062"/>
      <c r="CL626" s="2062"/>
      <c r="CM626" s="2062">
        <f t="shared" si="9"/>
        <v>0</v>
      </c>
      <c r="CN626" s="2062"/>
      <c r="CO626" s="2062"/>
      <c r="CP626" s="2062"/>
      <c r="CQ626" s="2062"/>
      <c r="CR626" s="264"/>
      <c r="CS626" s="2357">
        <f t="shared" si="10"/>
        <v>0</v>
      </c>
      <c r="CT626" s="2357"/>
      <c r="CU626" s="2357"/>
      <c r="CV626" s="2357"/>
      <c r="CW626" s="2357"/>
      <c r="CX626" s="2357">
        <f t="shared" si="11"/>
        <v>0</v>
      </c>
      <c r="CY626" s="2357"/>
      <c r="CZ626" s="2357"/>
      <c r="DA626" s="2357"/>
      <c r="DB626" s="2357"/>
      <c r="DC626" s="2357">
        <f t="shared" si="12"/>
        <v>0</v>
      </c>
      <c r="DD626" s="2357"/>
      <c r="DE626" s="2357"/>
      <c r="DF626" s="2357"/>
      <c r="DG626" s="2357"/>
      <c r="DH626" s="2357">
        <f t="shared" si="13"/>
        <v>0</v>
      </c>
      <c r="DI626" s="2357"/>
      <c r="DJ626" s="2357"/>
      <c r="DK626" s="2357"/>
      <c r="DL626" s="2357"/>
      <c r="DM626" s="2357">
        <f t="shared" si="14"/>
        <v>0</v>
      </c>
      <c r="DN626" s="2357"/>
      <c r="DO626" s="2357"/>
      <c r="DP626" s="2357"/>
      <c r="DQ626" s="2357"/>
      <c r="DR626" s="2357">
        <f t="shared" si="15"/>
        <v>0</v>
      </c>
      <c r="DS626" s="2357"/>
      <c r="DT626" s="2357"/>
      <c r="DU626" s="2357"/>
      <c r="DV626" s="2357"/>
      <c r="DX626" s="2053" t="str">
        <f t="shared" si="16"/>
        <v xml:space="preserve"> </v>
      </c>
      <c r="DY626" s="2185"/>
      <c r="DZ626" s="2185"/>
      <c r="EA626" s="2185"/>
      <c r="EB626" s="2054"/>
      <c r="EC626" s="2053" t="str">
        <f t="shared" si="17"/>
        <v xml:space="preserve"> </v>
      </c>
      <c r="ED626" s="2185"/>
      <c r="EE626" s="2185"/>
      <c r="EF626" s="2185"/>
      <c r="EG626" s="2054"/>
      <c r="EH626" s="2053" t="str">
        <f t="shared" si="18"/>
        <v xml:space="preserve"> </v>
      </c>
      <c r="EI626" s="2185"/>
      <c r="EJ626" s="2185"/>
      <c r="EK626" s="2185"/>
      <c r="EL626" s="2054"/>
      <c r="EM626" s="2053" t="str">
        <f t="shared" si="19"/>
        <v xml:space="preserve"> </v>
      </c>
      <c r="EN626" s="2185"/>
      <c r="EO626" s="2185"/>
      <c r="EP626" s="2185"/>
      <c r="EQ626" s="2054"/>
      <c r="ER626" s="2053" t="str">
        <f t="shared" si="20"/>
        <v xml:space="preserve"> </v>
      </c>
      <c r="ES626" s="2185"/>
      <c r="ET626" s="2185"/>
      <c r="EU626" s="2185"/>
      <c r="EV626" s="2054"/>
      <c r="EW626" s="2053" t="str">
        <f t="shared" si="21"/>
        <v xml:space="preserve"> </v>
      </c>
      <c r="EX626" s="2185"/>
      <c r="EY626" s="2185"/>
      <c r="EZ626" s="2185"/>
      <c r="FA626" s="2054"/>
    </row>
    <row r="627" spans="1:157" ht="12.75" customHeight="1">
      <c r="A627" s="1874" t="s">
        <v>576</v>
      </c>
      <c r="B627" s="1874"/>
      <c r="C627" s="1874"/>
      <c r="D627" s="1874"/>
      <c r="E627" s="1874"/>
      <c r="F627" s="1874"/>
      <c r="G627" s="1874"/>
      <c r="H627" s="1874"/>
      <c r="I627" s="1874"/>
      <c r="J627" s="1874"/>
      <c r="K627" s="1874"/>
      <c r="L627" s="1874"/>
      <c r="M627" s="1874"/>
      <c r="N627" s="1874"/>
      <c r="O627" s="1874"/>
      <c r="P627" s="1874"/>
      <c r="Q627" s="1874"/>
      <c r="R627" s="1874"/>
      <c r="S627" s="1874"/>
      <c r="T627" s="1874"/>
      <c r="U627" s="1874"/>
      <c r="V627" s="1874"/>
      <c r="W627" s="1874"/>
      <c r="X627" s="1874"/>
      <c r="Y627" s="1874"/>
      <c r="Z627" s="1874"/>
      <c r="AA627" s="1874"/>
      <c r="AB627" s="1874"/>
      <c r="AC627" s="1874"/>
      <c r="AD627" s="1874"/>
      <c r="AE627" s="1874"/>
      <c r="AF627" s="1874"/>
      <c r="AG627" s="1874"/>
      <c r="AH627" s="1874"/>
      <c r="AI627" s="1874"/>
      <c r="AJ627" s="1874"/>
      <c r="AK627" s="1874"/>
      <c r="AL627" s="1874"/>
      <c r="AM627" s="1874"/>
      <c r="AN627" s="1874"/>
      <c r="AO627" s="1874"/>
      <c r="AP627" s="1874"/>
      <c r="AQ627" s="1874"/>
      <c r="AR627" s="1874"/>
      <c r="AS627" s="1874"/>
      <c r="AT627" s="1571"/>
      <c r="AU627" s="1571"/>
      <c r="AV627" s="1571"/>
      <c r="AW627" s="1571"/>
      <c r="AX627" s="1571"/>
      <c r="AY627" s="1571"/>
      <c r="AZ627" s="58"/>
      <c r="BA627" s="58"/>
      <c r="BB627" s="58"/>
      <c r="BC627" s="58"/>
      <c r="BD627" s="58"/>
      <c r="BE627" s="2053">
        <f t="shared" si="0"/>
        <v>0</v>
      </c>
      <c r="BF627" s="2054"/>
      <c r="BG627" s="2071">
        <f t="shared" si="1"/>
        <v>0</v>
      </c>
      <c r="BH627" s="2073"/>
      <c r="BI627" s="2053">
        <f t="shared" si="2"/>
        <v>0</v>
      </c>
      <c r="BJ627" s="2054"/>
      <c r="BK627" s="2071">
        <f t="shared" si="3"/>
        <v>0</v>
      </c>
      <c r="BL627" s="2073"/>
      <c r="BM627" s="58"/>
      <c r="BN627" s="2068">
        <f t="shared" si="4"/>
        <v>0</v>
      </c>
      <c r="BO627" s="2069"/>
      <c r="BP627" s="2069"/>
      <c r="BQ627" s="2069"/>
      <c r="BR627" s="2070"/>
      <c r="BS627" s="2062">
        <f t="shared" si="5"/>
        <v>0</v>
      </c>
      <c r="BT627" s="2062"/>
      <c r="BU627" s="2062"/>
      <c r="BV627" s="2062"/>
      <c r="BW627" s="2062"/>
      <c r="BX627" s="2062">
        <f t="shared" si="6"/>
        <v>0</v>
      </c>
      <c r="BY627" s="2062"/>
      <c r="BZ627" s="2062"/>
      <c r="CA627" s="2062"/>
      <c r="CB627" s="2062"/>
      <c r="CC627" s="2062">
        <f t="shared" si="7"/>
        <v>0</v>
      </c>
      <c r="CD627" s="2062"/>
      <c r="CE627" s="2062"/>
      <c r="CF627" s="2062"/>
      <c r="CG627" s="2062"/>
      <c r="CH627" s="2062">
        <f t="shared" si="8"/>
        <v>0</v>
      </c>
      <c r="CI627" s="2062"/>
      <c r="CJ627" s="2062"/>
      <c r="CK627" s="2062"/>
      <c r="CL627" s="2062"/>
      <c r="CM627" s="2062">
        <f t="shared" si="9"/>
        <v>0</v>
      </c>
      <c r="CN627" s="2062"/>
      <c r="CO627" s="2062"/>
      <c r="CP627" s="2062"/>
      <c r="CQ627" s="2062"/>
      <c r="CR627" s="264"/>
      <c r="CS627" s="2357">
        <f t="shared" si="10"/>
        <v>0</v>
      </c>
      <c r="CT627" s="2357"/>
      <c r="CU627" s="2357"/>
      <c r="CV627" s="2357"/>
      <c r="CW627" s="2357"/>
      <c r="CX627" s="2357">
        <f t="shared" si="11"/>
        <v>0</v>
      </c>
      <c r="CY627" s="2357"/>
      <c r="CZ627" s="2357"/>
      <c r="DA627" s="2357"/>
      <c r="DB627" s="2357"/>
      <c r="DC627" s="2357">
        <f t="shared" si="12"/>
        <v>0</v>
      </c>
      <c r="DD627" s="2357"/>
      <c r="DE627" s="2357"/>
      <c r="DF627" s="2357"/>
      <c r="DG627" s="2357"/>
      <c r="DH627" s="2357">
        <f t="shared" si="13"/>
        <v>0</v>
      </c>
      <c r="DI627" s="2357"/>
      <c r="DJ627" s="2357"/>
      <c r="DK627" s="2357"/>
      <c r="DL627" s="2357"/>
      <c r="DM627" s="2357">
        <f t="shared" si="14"/>
        <v>0</v>
      </c>
      <c r="DN627" s="2357"/>
      <c r="DO627" s="2357"/>
      <c r="DP627" s="2357"/>
      <c r="DQ627" s="2357"/>
      <c r="DR627" s="2357">
        <f t="shared" si="15"/>
        <v>0</v>
      </c>
      <c r="DS627" s="2357"/>
      <c r="DT627" s="2357"/>
      <c r="DU627" s="2357"/>
      <c r="DV627" s="2357"/>
      <c r="DX627" s="2053" t="str">
        <f t="shared" si="16"/>
        <v xml:space="preserve"> </v>
      </c>
      <c r="DY627" s="2185"/>
      <c r="DZ627" s="2185"/>
      <c r="EA627" s="2185"/>
      <c r="EB627" s="2054"/>
      <c r="EC627" s="2053" t="str">
        <f t="shared" si="17"/>
        <v xml:space="preserve"> </v>
      </c>
      <c r="ED627" s="2185"/>
      <c r="EE627" s="2185"/>
      <c r="EF627" s="2185"/>
      <c r="EG627" s="2054"/>
      <c r="EH627" s="2053" t="str">
        <f t="shared" si="18"/>
        <v xml:space="preserve"> </v>
      </c>
      <c r="EI627" s="2185"/>
      <c r="EJ627" s="2185"/>
      <c r="EK627" s="2185"/>
      <c r="EL627" s="2054"/>
      <c r="EM627" s="2053" t="str">
        <f t="shared" si="19"/>
        <v xml:space="preserve"> </v>
      </c>
      <c r="EN627" s="2185"/>
      <c r="EO627" s="2185"/>
      <c r="EP627" s="2185"/>
      <c r="EQ627" s="2054"/>
      <c r="ER627" s="2053" t="str">
        <f t="shared" si="20"/>
        <v xml:space="preserve"> </v>
      </c>
      <c r="ES627" s="2185"/>
      <c r="ET627" s="2185"/>
      <c r="EU627" s="2185"/>
      <c r="EV627" s="2054"/>
      <c r="EW627" s="2053" t="str">
        <f t="shared" si="21"/>
        <v xml:space="preserve"> </v>
      </c>
      <c r="EX627" s="2185"/>
      <c r="EY627" s="2185"/>
      <c r="EZ627" s="2185"/>
      <c r="FA627" s="2054"/>
    </row>
    <row r="628" spans="1:157" ht="12.75">
      <c r="A628" s="1874"/>
      <c r="B628" s="1874"/>
      <c r="C628" s="1874"/>
      <c r="D628" s="1874"/>
      <c r="E628" s="1874"/>
      <c r="F628" s="1874"/>
      <c r="G628" s="1874"/>
      <c r="H628" s="1874"/>
      <c r="I628" s="1874"/>
      <c r="J628" s="1874"/>
      <c r="K628" s="1874"/>
      <c r="L628" s="1874"/>
      <c r="M628" s="1874"/>
      <c r="N628" s="1874"/>
      <c r="O628" s="1874"/>
      <c r="P628" s="1874"/>
      <c r="Q628" s="1874"/>
      <c r="R628" s="1874"/>
      <c r="S628" s="1874"/>
      <c r="T628" s="1874"/>
      <c r="U628" s="1874"/>
      <c r="V628" s="1874"/>
      <c r="W628" s="1874"/>
      <c r="X628" s="1874"/>
      <c r="Y628" s="1874"/>
      <c r="Z628" s="1874"/>
      <c r="AA628" s="1874"/>
      <c r="AB628" s="1874"/>
      <c r="AC628" s="1874"/>
      <c r="AD628" s="1874"/>
      <c r="AE628" s="1874"/>
      <c r="AF628" s="1874"/>
      <c r="AG628" s="1874"/>
      <c r="AH628" s="1874"/>
      <c r="AI628" s="1874"/>
      <c r="AJ628" s="1874"/>
      <c r="AK628" s="1874"/>
      <c r="AL628" s="1874"/>
      <c r="AM628" s="1874"/>
      <c r="AN628" s="1874"/>
      <c r="AO628" s="1874"/>
      <c r="AP628" s="1874"/>
      <c r="AQ628" s="1874"/>
      <c r="AR628" s="1874"/>
      <c r="AS628" s="1874"/>
      <c r="AT628" s="1571"/>
      <c r="AU628" s="1571"/>
      <c r="AV628" s="1571"/>
      <c r="AW628" s="1571"/>
      <c r="AX628" s="1571"/>
      <c r="AY628" s="1571"/>
      <c r="AZ628" s="58"/>
      <c r="BA628" s="58"/>
      <c r="BB628" s="58"/>
      <c r="BC628" s="58"/>
      <c r="BD628" s="58"/>
      <c r="BE628" s="2053">
        <f t="shared" si="0"/>
        <v>0</v>
      </c>
      <c r="BF628" s="2054"/>
      <c r="BG628" s="2071">
        <f t="shared" si="1"/>
        <v>0</v>
      </c>
      <c r="BH628" s="2073"/>
      <c r="BI628" s="2053">
        <f t="shared" si="2"/>
        <v>0</v>
      </c>
      <c r="BJ628" s="2054"/>
      <c r="BK628" s="2071">
        <f t="shared" si="3"/>
        <v>0</v>
      </c>
      <c r="BL628" s="2073"/>
      <c r="BM628" s="58"/>
      <c r="BN628" s="2068">
        <f t="shared" si="4"/>
        <v>0</v>
      </c>
      <c r="BO628" s="2069"/>
      <c r="BP628" s="2069"/>
      <c r="BQ628" s="2069"/>
      <c r="BR628" s="2070"/>
      <c r="BS628" s="2062">
        <f t="shared" si="5"/>
        <v>0</v>
      </c>
      <c r="BT628" s="2062"/>
      <c r="BU628" s="2062"/>
      <c r="BV628" s="2062"/>
      <c r="BW628" s="2062"/>
      <c r="BX628" s="2062">
        <f t="shared" si="6"/>
        <v>0</v>
      </c>
      <c r="BY628" s="2062"/>
      <c r="BZ628" s="2062"/>
      <c r="CA628" s="2062"/>
      <c r="CB628" s="2062"/>
      <c r="CC628" s="2062">
        <f t="shared" si="7"/>
        <v>0</v>
      </c>
      <c r="CD628" s="2062"/>
      <c r="CE628" s="2062"/>
      <c r="CF628" s="2062"/>
      <c r="CG628" s="2062"/>
      <c r="CH628" s="2062">
        <f t="shared" si="8"/>
        <v>0</v>
      </c>
      <c r="CI628" s="2062"/>
      <c r="CJ628" s="2062"/>
      <c r="CK628" s="2062"/>
      <c r="CL628" s="2062"/>
      <c r="CM628" s="2062">
        <f t="shared" si="9"/>
        <v>0</v>
      </c>
      <c r="CN628" s="2062"/>
      <c r="CO628" s="2062"/>
      <c r="CP628" s="2062"/>
      <c r="CQ628" s="2062"/>
      <c r="CR628" s="264"/>
      <c r="CS628" s="2357">
        <f t="shared" si="10"/>
        <v>0</v>
      </c>
      <c r="CT628" s="2357"/>
      <c r="CU628" s="2357"/>
      <c r="CV628" s="2357"/>
      <c r="CW628" s="2357"/>
      <c r="CX628" s="2357">
        <f t="shared" si="11"/>
        <v>0</v>
      </c>
      <c r="CY628" s="2357"/>
      <c r="CZ628" s="2357"/>
      <c r="DA628" s="2357"/>
      <c r="DB628" s="2357"/>
      <c r="DC628" s="2357">
        <f t="shared" si="12"/>
        <v>0</v>
      </c>
      <c r="DD628" s="2357"/>
      <c r="DE628" s="2357"/>
      <c r="DF628" s="2357"/>
      <c r="DG628" s="2357"/>
      <c r="DH628" s="2357">
        <f t="shared" si="13"/>
        <v>0</v>
      </c>
      <c r="DI628" s="2357"/>
      <c r="DJ628" s="2357"/>
      <c r="DK628" s="2357"/>
      <c r="DL628" s="2357"/>
      <c r="DM628" s="2357">
        <f t="shared" si="14"/>
        <v>0</v>
      </c>
      <c r="DN628" s="2357"/>
      <c r="DO628" s="2357"/>
      <c r="DP628" s="2357"/>
      <c r="DQ628" s="2357"/>
      <c r="DR628" s="2357">
        <f t="shared" si="15"/>
        <v>0</v>
      </c>
      <c r="DS628" s="2357"/>
      <c r="DT628" s="2357"/>
      <c r="DU628" s="2357"/>
      <c r="DV628" s="2357"/>
      <c r="DX628" s="2053" t="str">
        <f t="shared" si="16"/>
        <v xml:space="preserve"> </v>
      </c>
      <c r="DY628" s="2185"/>
      <c r="DZ628" s="2185"/>
      <c r="EA628" s="2185"/>
      <c r="EB628" s="2054"/>
      <c r="EC628" s="2053" t="str">
        <f t="shared" si="17"/>
        <v xml:space="preserve"> </v>
      </c>
      <c r="ED628" s="2185"/>
      <c r="EE628" s="2185"/>
      <c r="EF628" s="2185"/>
      <c r="EG628" s="2054"/>
      <c r="EH628" s="2053" t="str">
        <f t="shared" si="18"/>
        <v xml:space="preserve"> </v>
      </c>
      <c r="EI628" s="2185"/>
      <c r="EJ628" s="2185"/>
      <c r="EK628" s="2185"/>
      <c r="EL628" s="2054"/>
      <c r="EM628" s="2053" t="str">
        <f t="shared" si="19"/>
        <v xml:space="preserve"> </v>
      </c>
      <c r="EN628" s="2185"/>
      <c r="EO628" s="2185"/>
      <c r="EP628" s="2185"/>
      <c r="EQ628" s="2054"/>
      <c r="ER628" s="2053" t="str">
        <f t="shared" si="20"/>
        <v xml:space="preserve"> </v>
      </c>
      <c r="ES628" s="2185"/>
      <c r="ET628" s="2185"/>
      <c r="EU628" s="2185"/>
      <c r="EV628" s="2054"/>
      <c r="EW628" s="2053" t="str">
        <f t="shared" si="21"/>
        <v xml:space="preserve"> </v>
      </c>
      <c r="EX628" s="2185"/>
      <c r="EY628" s="2185"/>
      <c r="EZ628" s="2185"/>
      <c r="FA628" s="2054"/>
    </row>
    <row r="629" spans="1:157" ht="12.75">
      <c r="A629" s="25"/>
      <c r="B629" s="25"/>
      <c r="C629" s="25"/>
      <c r="D629" s="25"/>
      <c r="E629" s="25"/>
      <c r="F629" s="25"/>
      <c r="G629" s="3"/>
      <c r="H629" s="25"/>
      <c r="AZ629" s="58"/>
      <c r="BA629" s="58"/>
      <c r="BB629" s="58"/>
      <c r="BC629" s="58"/>
      <c r="BD629" s="58"/>
      <c r="BE629" s="2053">
        <f t="shared" si="0"/>
        <v>0</v>
      </c>
      <c r="BF629" s="2054"/>
      <c r="BG629" s="2071">
        <f t="shared" si="1"/>
        <v>0</v>
      </c>
      <c r="BH629" s="2073"/>
      <c r="BI629" s="2053">
        <f t="shared" si="2"/>
        <v>0</v>
      </c>
      <c r="BJ629" s="2054"/>
      <c r="BK629" s="2071">
        <f t="shared" si="3"/>
        <v>0</v>
      </c>
      <c r="BL629" s="2073"/>
      <c r="BM629" s="58"/>
      <c r="BN629" s="2068">
        <f t="shared" si="4"/>
        <v>0</v>
      </c>
      <c r="BO629" s="2069"/>
      <c r="BP629" s="2069"/>
      <c r="BQ629" s="2069"/>
      <c r="BR629" s="2070"/>
      <c r="BS629" s="2062">
        <f t="shared" si="5"/>
        <v>0</v>
      </c>
      <c r="BT629" s="2062"/>
      <c r="BU629" s="2062"/>
      <c r="BV629" s="2062"/>
      <c r="BW629" s="2062"/>
      <c r="BX629" s="2062">
        <f t="shared" si="6"/>
        <v>0</v>
      </c>
      <c r="BY629" s="2062"/>
      <c r="BZ629" s="2062"/>
      <c r="CA629" s="2062"/>
      <c r="CB629" s="2062"/>
      <c r="CC629" s="2062">
        <f t="shared" si="7"/>
        <v>0</v>
      </c>
      <c r="CD629" s="2062"/>
      <c r="CE629" s="2062"/>
      <c r="CF629" s="2062"/>
      <c r="CG629" s="2062"/>
      <c r="CH629" s="2062">
        <f t="shared" si="8"/>
        <v>0</v>
      </c>
      <c r="CI629" s="2062"/>
      <c r="CJ629" s="2062"/>
      <c r="CK629" s="2062"/>
      <c r="CL629" s="2062"/>
      <c r="CM629" s="2062">
        <f t="shared" si="9"/>
        <v>0</v>
      </c>
      <c r="CN629" s="2062"/>
      <c r="CO629" s="2062"/>
      <c r="CP629" s="2062"/>
      <c r="CQ629" s="2062"/>
      <c r="CR629" s="264"/>
      <c r="CS629" s="2357">
        <f t="shared" si="10"/>
        <v>0</v>
      </c>
      <c r="CT629" s="2357"/>
      <c r="CU629" s="2357"/>
      <c r="CV629" s="2357"/>
      <c r="CW629" s="2357"/>
      <c r="CX629" s="2357">
        <f t="shared" si="11"/>
        <v>0</v>
      </c>
      <c r="CY629" s="2357"/>
      <c r="CZ629" s="2357"/>
      <c r="DA629" s="2357"/>
      <c r="DB629" s="2357"/>
      <c r="DC629" s="2357">
        <f t="shared" si="12"/>
        <v>0</v>
      </c>
      <c r="DD629" s="2357"/>
      <c r="DE629" s="2357"/>
      <c r="DF629" s="2357"/>
      <c r="DG629" s="2357"/>
      <c r="DH629" s="2357">
        <f t="shared" si="13"/>
        <v>0</v>
      </c>
      <c r="DI629" s="2357"/>
      <c r="DJ629" s="2357"/>
      <c r="DK629" s="2357"/>
      <c r="DL629" s="2357"/>
      <c r="DM629" s="2357">
        <f t="shared" si="14"/>
        <v>0</v>
      </c>
      <c r="DN629" s="2357"/>
      <c r="DO629" s="2357"/>
      <c r="DP629" s="2357"/>
      <c r="DQ629" s="2357"/>
      <c r="DR629" s="2357">
        <f t="shared" si="15"/>
        <v>0</v>
      </c>
      <c r="DS629" s="2357"/>
      <c r="DT629" s="2357"/>
      <c r="DU629" s="2357"/>
      <c r="DV629" s="2357"/>
      <c r="DX629" s="2053" t="str">
        <f t="shared" si="16"/>
        <v xml:space="preserve"> </v>
      </c>
      <c r="DY629" s="2185"/>
      <c r="DZ629" s="2185"/>
      <c r="EA629" s="2185"/>
      <c r="EB629" s="2054"/>
      <c r="EC629" s="2053" t="str">
        <f t="shared" si="17"/>
        <v xml:space="preserve"> </v>
      </c>
      <c r="ED629" s="2185"/>
      <c r="EE629" s="2185"/>
      <c r="EF629" s="2185"/>
      <c r="EG629" s="2054"/>
      <c r="EH629" s="2053" t="str">
        <f t="shared" si="18"/>
        <v xml:space="preserve"> </v>
      </c>
      <c r="EI629" s="2185"/>
      <c r="EJ629" s="2185"/>
      <c r="EK629" s="2185"/>
      <c r="EL629" s="2054"/>
      <c r="EM629" s="2053" t="str">
        <f t="shared" si="19"/>
        <v xml:space="preserve"> </v>
      </c>
      <c r="EN629" s="2185"/>
      <c r="EO629" s="2185"/>
      <c r="EP629" s="2185"/>
      <c r="EQ629" s="2054"/>
      <c r="ER629" s="2053" t="str">
        <f t="shared" si="20"/>
        <v xml:space="preserve"> </v>
      </c>
      <c r="ES629" s="2185"/>
      <c r="ET629" s="2185"/>
      <c r="EU629" s="2185"/>
      <c r="EV629" s="2054"/>
      <c r="EW629" s="2053" t="str">
        <f t="shared" si="21"/>
        <v xml:space="preserve"> </v>
      </c>
      <c r="EX629" s="2185"/>
      <c r="EY629" s="2185"/>
      <c r="EZ629" s="2185"/>
      <c r="FA629" s="2054"/>
    </row>
    <row r="630" spans="1:157" ht="12.75">
      <c r="A630" s="50" t="s">
        <v>327</v>
      </c>
      <c r="B630" s="50"/>
      <c r="C630" s="50" t="s">
        <v>21</v>
      </c>
      <c r="AZ630" s="58"/>
      <c r="BA630" s="58"/>
      <c r="BB630" s="58"/>
      <c r="BC630" s="58"/>
      <c r="BD630" s="58"/>
      <c r="BE630" s="2053">
        <f t="shared" si="0"/>
        <v>0</v>
      </c>
      <c r="BF630" s="2054"/>
      <c r="BG630" s="2071">
        <f t="shared" si="1"/>
        <v>0</v>
      </c>
      <c r="BH630" s="2073"/>
      <c r="BI630" s="2053">
        <f t="shared" si="2"/>
        <v>0</v>
      </c>
      <c r="BJ630" s="2054"/>
      <c r="BK630" s="2071">
        <f t="shared" si="3"/>
        <v>0</v>
      </c>
      <c r="BL630" s="2073"/>
      <c r="BM630" s="58"/>
      <c r="BN630" s="2068">
        <f t="shared" si="4"/>
        <v>0</v>
      </c>
      <c r="BO630" s="2069"/>
      <c r="BP630" s="2069"/>
      <c r="BQ630" s="2069"/>
      <c r="BR630" s="2070"/>
      <c r="BS630" s="2062">
        <f t="shared" si="5"/>
        <v>0</v>
      </c>
      <c r="BT630" s="2062"/>
      <c r="BU630" s="2062"/>
      <c r="BV630" s="2062"/>
      <c r="BW630" s="2062"/>
      <c r="BX630" s="2062">
        <f t="shared" si="6"/>
        <v>0</v>
      </c>
      <c r="BY630" s="2062"/>
      <c r="BZ630" s="2062"/>
      <c r="CA630" s="2062"/>
      <c r="CB630" s="2062"/>
      <c r="CC630" s="2062">
        <f t="shared" si="7"/>
        <v>0</v>
      </c>
      <c r="CD630" s="2062"/>
      <c r="CE630" s="2062"/>
      <c r="CF630" s="2062"/>
      <c r="CG630" s="2062"/>
      <c r="CH630" s="2062">
        <f t="shared" si="8"/>
        <v>0</v>
      </c>
      <c r="CI630" s="2062"/>
      <c r="CJ630" s="2062"/>
      <c r="CK630" s="2062"/>
      <c r="CL630" s="2062"/>
      <c r="CM630" s="2062">
        <f t="shared" si="9"/>
        <v>0</v>
      </c>
      <c r="CN630" s="2062"/>
      <c r="CO630" s="2062"/>
      <c r="CP630" s="2062"/>
      <c r="CQ630" s="2062"/>
      <c r="CR630" s="264"/>
      <c r="CS630" s="2357">
        <f t="shared" si="10"/>
        <v>0</v>
      </c>
      <c r="CT630" s="2357"/>
      <c r="CU630" s="2357"/>
      <c r="CV630" s="2357"/>
      <c r="CW630" s="2357"/>
      <c r="CX630" s="2357">
        <f t="shared" si="11"/>
        <v>0</v>
      </c>
      <c r="CY630" s="2357"/>
      <c r="CZ630" s="2357"/>
      <c r="DA630" s="2357"/>
      <c r="DB630" s="2357"/>
      <c r="DC630" s="2357">
        <f t="shared" si="12"/>
        <v>0</v>
      </c>
      <c r="DD630" s="2357"/>
      <c r="DE630" s="2357"/>
      <c r="DF630" s="2357"/>
      <c r="DG630" s="2357"/>
      <c r="DH630" s="2357">
        <f t="shared" si="13"/>
        <v>0</v>
      </c>
      <c r="DI630" s="2357"/>
      <c r="DJ630" s="2357"/>
      <c r="DK630" s="2357"/>
      <c r="DL630" s="2357"/>
      <c r="DM630" s="2357">
        <f t="shared" si="14"/>
        <v>0</v>
      </c>
      <c r="DN630" s="2357"/>
      <c r="DO630" s="2357"/>
      <c r="DP630" s="2357"/>
      <c r="DQ630" s="2357"/>
      <c r="DR630" s="2357">
        <f t="shared" si="15"/>
        <v>0</v>
      </c>
      <c r="DS630" s="2357"/>
      <c r="DT630" s="2357"/>
      <c r="DU630" s="2357"/>
      <c r="DV630" s="2357"/>
      <c r="DX630" s="2053" t="str">
        <f t="shared" si="16"/>
        <v xml:space="preserve"> </v>
      </c>
      <c r="DY630" s="2185"/>
      <c r="DZ630" s="2185"/>
      <c r="EA630" s="2185"/>
      <c r="EB630" s="2054"/>
      <c r="EC630" s="2053" t="str">
        <f t="shared" si="17"/>
        <v xml:space="preserve"> </v>
      </c>
      <c r="ED630" s="2185"/>
      <c r="EE630" s="2185"/>
      <c r="EF630" s="2185"/>
      <c r="EG630" s="2054"/>
      <c r="EH630" s="2053" t="str">
        <f t="shared" si="18"/>
        <v xml:space="preserve"> </v>
      </c>
      <c r="EI630" s="2185"/>
      <c r="EJ630" s="2185"/>
      <c r="EK630" s="2185"/>
      <c r="EL630" s="2054"/>
      <c r="EM630" s="2053" t="str">
        <f t="shared" si="19"/>
        <v xml:space="preserve"> </v>
      </c>
      <c r="EN630" s="2185"/>
      <c r="EO630" s="2185"/>
      <c r="EP630" s="2185"/>
      <c r="EQ630" s="2054"/>
      <c r="ER630" s="2053" t="str">
        <f t="shared" si="20"/>
        <v xml:space="preserve"> </v>
      </c>
      <c r="ES630" s="2185"/>
      <c r="ET630" s="2185"/>
      <c r="EU630" s="2185"/>
      <c r="EV630" s="2054"/>
      <c r="EW630" s="2053" t="str">
        <f t="shared" si="21"/>
        <v xml:space="preserve"> </v>
      </c>
      <c r="EX630" s="2185"/>
      <c r="EY630" s="2185"/>
      <c r="EZ630" s="2185"/>
      <c r="FA630" s="2054"/>
    </row>
    <row r="631" spans="1:157" ht="12.75">
      <c r="A631" s="50"/>
      <c r="B631" s="50"/>
      <c r="C631" s="50"/>
      <c r="AZ631" s="58"/>
      <c r="BA631" s="58"/>
      <c r="BB631" s="58"/>
      <c r="BC631" s="58"/>
      <c r="BD631" s="58"/>
      <c r="BE631" s="2053">
        <f t="shared" si="0"/>
        <v>0</v>
      </c>
      <c r="BF631" s="2054"/>
      <c r="BG631" s="2071">
        <f t="shared" si="1"/>
        <v>0</v>
      </c>
      <c r="BH631" s="2073"/>
      <c r="BI631" s="2053">
        <f t="shared" si="2"/>
        <v>0</v>
      </c>
      <c r="BJ631" s="2054"/>
      <c r="BK631" s="2071">
        <f t="shared" si="3"/>
        <v>0</v>
      </c>
      <c r="BL631" s="2073"/>
      <c r="BM631" s="58"/>
      <c r="BN631" s="2068">
        <f t="shared" si="4"/>
        <v>0</v>
      </c>
      <c r="BO631" s="2069"/>
      <c r="BP631" s="2069"/>
      <c r="BQ631" s="2069"/>
      <c r="BR631" s="2070"/>
      <c r="BS631" s="2062">
        <f t="shared" si="5"/>
        <v>0</v>
      </c>
      <c r="BT631" s="2062"/>
      <c r="BU631" s="2062"/>
      <c r="BV631" s="2062"/>
      <c r="BW631" s="2062"/>
      <c r="BX631" s="2062">
        <f t="shared" si="6"/>
        <v>0</v>
      </c>
      <c r="BY631" s="2062"/>
      <c r="BZ631" s="2062"/>
      <c r="CA631" s="2062"/>
      <c r="CB631" s="2062"/>
      <c r="CC631" s="2062">
        <f t="shared" si="7"/>
        <v>0</v>
      </c>
      <c r="CD631" s="2062"/>
      <c r="CE631" s="2062"/>
      <c r="CF631" s="2062"/>
      <c r="CG631" s="2062"/>
      <c r="CH631" s="2062">
        <f t="shared" si="8"/>
        <v>0</v>
      </c>
      <c r="CI631" s="2062"/>
      <c r="CJ631" s="2062"/>
      <c r="CK631" s="2062"/>
      <c r="CL631" s="2062"/>
      <c r="CM631" s="2062">
        <f t="shared" si="9"/>
        <v>0</v>
      </c>
      <c r="CN631" s="2062"/>
      <c r="CO631" s="2062"/>
      <c r="CP631" s="2062"/>
      <c r="CQ631" s="2062"/>
      <c r="CR631" s="264"/>
      <c r="CS631" s="2357">
        <f t="shared" si="10"/>
        <v>0</v>
      </c>
      <c r="CT631" s="2357"/>
      <c r="CU631" s="2357"/>
      <c r="CV631" s="2357"/>
      <c r="CW631" s="2357"/>
      <c r="CX631" s="2357">
        <f t="shared" si="11"/>
        <v>0</v>
      </c>
      <c r="CY631" s="2357"/>
      <c r="CZ631" s="2357"/>
      <c r="DA631" s="2357"/>
      <c r="DB631" s="2357"/>
      <c r="DC631" s="2357">
        <f t="shared" si="12"/>
        <v>0</v>
      </c>
      <c r="DD631" s="2357"/>
      <c r="DE631" s="2357"/>
      <c r="DF631" s="2357"/>
      <c r="DG631" s="2357"/>
      <c r="DH631" s="2357">
        <f t="shared" si="13"/>
        <v>0</v>
      </c>
      <c r="DI631" s="2357"/>
      <c r="DJ631" s="2357"/>
      <c r="DK631" s="2357"/>
      <c r="DL631" s="2357"/>
      <c r="DM631" s="2357">
        <f t="shared" si="14"/>
        <v>0</v>
      </c>
      <c r="DN631" s="2357"/>
      <c r="DO631" s="2357"/>
      <c r="DP631" s="2357"/>
      <c r="DQ631" s="2357"/>
      <c r="DR631" s="2357">
        <f t="shared" si="15"/>
        <v>0</v>
      </c>
      <c r="DS631" s="2357"/>
      <c r="DT631" s="2357"/>
      <c r="DU631" s="2357"/>
      <c r="DV631" s="2357"/>
      <c r="DX631" s="2053" t="str">
        <f t="shared" si="16"/>
        <v xml:space="preserve"> </v>
      </c>
      <c r="DY631" s="2185"/>
      <c r="DZ631" s="2185"/>
      <c r="EA631" s="2185"/>
      <c r="EB631" s="2054"/>
      <c r="EC631" s="2053" t="str">
        <f t="shared" si="17"/>
        <v xml:space="preserve"> </v>
      </c>
      <c r="ED631" s="2185"/>
      <c r="EE631" s="2185"/>
      <c r="EF631" s="2185"/>
      <c r="EG631" s="2054"/>
      <c r="EH631" s="2053" t="str">
        <f t="shared" si="18"/>
        <v xml:space="preserve"> </v>
      </c>
      <c r="EI631" s="2185"/>
      <c r="EJ631" s="2185"/>
      <c r="EK631" s="2185"/>
      <c r="EL631" s="2054"/>
      <c r="EM631" s="2053" t="str">
        <f t="shared" si="19"/>
        <v xml:space="preserve"> </v>
      </c>
      <c r="EN631" s="2185"/>
      <c r="EO631" s="2185"/>
      <c r="EP631" s="2185"/>
      <c r="EQ631" s="2054"/>
      <c r="ER631" s="2053" t="str">
        <f t="shared" si="20"/>
        <v xml:space="preserve"> </v>
      </c>
      <c r="ES631" s="2185"/>
      <c r="ET631" s="2185"/>
      <c r="EU631" s="2185"/>
      <c r="EV631" s="2054"/>
      <c r="EW631" s="2053" t="str">
        <f t="shared" si="21"/>
        <v xml:space="preserve"> </v>
      </c>
      <c r="EX631" s="2185"/>
      <c r="EY631" s="2185"/>
      <c r="EZ631" s="2185"/>
      <c r="FA631" s="205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3">
        <f t="shared" si="0"/>
        <v>0</v>
      </c>
      <c r="BF632" s="2054"/>
      <c r="BG632" s="2071">
        <f t="shared" si="1"/>
        <v>0</v>
      </c>
      <c r="BH632" s="2073"/>
      <c r="BI632" s="2053">
        <f t="shared" si="2"/>
        <v>0</v>
      </c>
      <c r="BJ632" s="2054"/>
      <c r="BK632" s="2071">
        <f t="shared" si="3"/>
        <v>0</v>
      </c>
      <c r="BL632" s="2073"/>
      <c r="BM632" s="58"/>
      <c r="BN632" s="2068">
        <f t="shared" si="4"/>
        <v>0</v>
      </c>
      <c r="BO632" s="2069"/>
      <c r="BP632" s="2069"/>
      <c r="BQ632" s="2069"/>
      <c r="BR632" s="2070"/>
      <c r="BS632" s="2062">
        <f t="shared" si="5"/>
        <v>0</v>
      </c>
      <c r="BT632" s="2062"/>
      <c r="BU632" s="2062"/>
      <c r="BV632" s="2062"/>
      <c r="BW632" s="2062"/>
      <c r="BX632" s="2062">
        <f t="shared" si="6"/>
        <v>0</v>
      </c>
      <c r="BY632" s="2062"/>
      <c r="BZ632" s="2062"/>
      <c r="CA632" s="2062"/>
      <c r="CB632" s="2062"/>
      <c r="CC632" s="2062">
        <f t="shared" si="7"/>
        <v>0</v>
      </c>
      <c r="CD632" s="2062"/>
      <c r="CE632" s="2062"/>
      <c r="CF632" s="2062"/>
      <c r="CG632" s="2062"/>
      <c r="CH632" s="2062">
        <f t="shared" si="8"/>
        <v>0</v>
      </c>
      <c r="CI632" s="2062"/>
      <c r="CJ632" s="2062"/>
      <c r="CK632" s="2062"/>
      <c r="CL632" s="2062"/>
      <c r="CM632" s="2062">
        <f t="shared" si="9"/>
        <v>0</v>
      </c>
      <c r="CN632" s="2062"/>
      <c r="CO632" s="2062"/>
      <c r="CP632" s="2062"/>
      <c r="CQ632" s="2062"/>
      <c r="CR632" s="264"/>
      <c r="CS632" s="2357">
        <f t="shared" si="10"/>
        <v>0</v>
      </c>
      <c r="CT632" s="2357"/>
      <c r="CU632" s="2357"/>
      <c r="CV632" s="2357"/>
      <c r="CW632" s="2357"/>
      <c r="CX632" s="2357">
        <f t="shared" si="11"/>
        <v>0</v>
      </c>
      <c r="CY632" s="2357"/>
      <c r="CZ632" s="2357"/>
      <c r="DA632" s="2357"/>
      <c r="DB632" s="2357"/>
      <c r="DC632" s="2357">
        <f t="shared" si="12"/>
        <v>0</v>
      </c>
      <c r="DD632" s="2357"/>
      <c r="DE632" s="2357"/>
      <c r="DF632" s="2357"/>
      <c r="DG632" s="2357"/>
      <c r="DH632" s="2357">
        <f t="shared" si="13"/>
        <v>0</v>
      </c>
      <c r="DI632" s="2357"/>
      <c r="DJ632" s="2357"/>
      <c r="DK632" s="2357"/>
      <c r="DL632" s="2357"/>
      <c r="DM632" s="2357">
        <f t="shared" si="14"/>
        <v>0</v>
      </c>
      <c r="DN632" s="2357"/>
      <c r="DO632" s="2357"/>
      <c r="DP632" s="2357"/>
      <c r="DQ632" s="2357"/>
      <c r="DR632" s="2357">
        <f t="shared" si="15"/>
        <v>0</v>
      </c>
      <c r="DS632" s="2357"/>
      <c r="DT632" s="2357"/>
      <c r="DU632" s="2357"/>
      <c r="DV632" s="2357"/>
      <c r="DX632" s="2053" t="str">
        <f t="shared" si="16"/>
        <v xml:space="preserve"> </v>
      </c>
      <c r="DY632" s="2185"/>
      <c r="DZ632" s="2185"/>
      <c r="EA632" s="2185"/>
      <c r="EB632" s="2054"/>
      <c r="EC632" s="2053" t="str">
        <f t="shared" si="17"/>
        <v xml:space="preserve"> </v>
      </c>
      <c r="ED632" s="2185"/>
      <c r="EE632" s="2185"/>
      <c r="EF632" s="2185"/>
      <c r="EG632" s="2054"/>
      <c r="EH632" s="2053" t="str">
        <f t="shared" si="18"/>
        <v xml:space="preserve"> </v>
      </c>
      <c r="EI632" s="2185"/>
      <c r="EJ632" s="2185"/>
      <c r="EK632" s="2185"/>
      <c r="EL632" s="2054"/>
      <c r="EM632" s="2053" t="str">
        <f t="shared" si="19"/>
        <v xml:space="preserve"> </v>
      </c>
      <c r="EN632" s="2185"/>
      <c r="EO632" s="2185"/>
      <c r="EP632" s="2185"/>
      <c r="EQ632" s="2054"/>
      <c r="ER632" s="2053" t="str">
        <f t="shared" si="20"/>
        <v xml:space="preserve"> </v>
      </c>
      <c r="ES632" s="2185"/>
      <c r="ET632" s="2185"/>
      <c r="EU632" s="2185"/>
      <c r="EV632" s="2054"/>
      <c r="EW632" s="2053" t="str">
        <f t="shared" si="21"/>
        <v xml:space="preserve"> </v>
      </c>
      <c r="EX632" s="2185"/>
      <c r="EY632" s="2185"/>
      <c r="EZ632" s="2185"/>
      <c r="FA632" s="2054"/>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3">
        <f t="shared" si="0"/>
        <v>0</v>
      </c>
      <c r="BF633" s="2054"/>
      <c r="BG633" s="2071">
        <f t="shared" si="1"/>
        <v>0</v>
      </c>
      <c r="BH633" s="2073"/>
      <c r="BI633" s="2053">
        <f t="shared" si="2"/>
        <v>0</v>
      </c>
      <c r="BJ633" s="2054"/>
      <c r="BK633" s="2071">
        <f t="shared" si="3"/>
        <v>0</v>
      </c>
      <c r="BL633" s="2073"/>
      <c r="BM633" s="58"/>
      <c r="BN633" s="2068">
        <f t="shared" si="4"/>
        <v>0</v>
      </c>
      <c r="BO633" s="2069"/>
      <c r="BP633" s="2069"/>
      <c r="BQ633" s="2069"/>
      <c r="BR633" s="2070"/>
      <c r="BS633" s="2062">
        <f t="shared" si="5"/>
        <v>0</v>
      </c>
      <c r="BT633" s="2062"/>
      <c r="BU633" s="2062"/>
      <c r="BV633" s="2062"/>
      <c r="BW633" s="2062"/>
      <c r="BX633" s="2062">
        <f t="shared" si="6"/>
        <v>0</v>
      </c>
      <c r="BY633" s="2062"/>
      <c r="BZ633" s="2062"/>
      <c r="CA633" s="2062"/>
      <c r="CB633" s="2062"/>
      <c r="CC633" s="2062">
        <f t="shared" si="7"/>
        <v>0</v>
      </c>
      <c r="CD633" s="2062"/>
      <c r="CE633" s="2062"/>
      <c r="CF633" s="2062"/>
      <c r="CG633" s="2062"/>
      <c r="CH633" s="2062">
        <f t="shared" si="8"/>
        <v>0</v>
      </c>
      <c r="CI633" s="2062"/>
      <c r="CJ633" s="2062"/>
      <c r="CK633" s="2062"/>
      <c r="CL633" s="2062"/>
      <c r="CM633" s="2062">
        <f t="shared" si="9"/>
        <v>0</v>
      </c>
      <c r="CN633" s="2062"/>
      <c r="CO633" s="2062"/>
      <c r="CP633" s="2062"/>
      <c r="CQ633" s="2062"/>
      <c r="CR633" s="264"/>
      <c r="CS633" s="2357">
        <f t="shared" si="10"/>
        <v>0</v>
      </c>
      <c r="CT633" s="2357"/>
      <c r="CU633" s="2357"/>
      <c r="CV633" s="2357"/>
      <c r="CW633" s="2357"/>
      <c r="CX633" s="2357">
        <f t="shared" si="11"/>
        <v>0</v>
      </c>
      <c r="CY633" s="2357"/>
      <c r="CZ633" s="2357"/>
      <c r="DA633" s="2357"/>
      <c r="DB633" s="2357"/>
      <c r="DC633" s="2357">
        <f t="shared" si="12"/>
        <v>0</v>
      </c>
      <c r="DD633" s="2357"/>
      <c r="DE633" s="2357"/>
      <c r="DF633" s="2357"/>
      <c r="DG633" s="2357"/>
      <c r="DH633" s="2357">
        <f t="shared" si="13"/>
        <v>0</v>
      </c>
      <c r="DI633" s="2357"/>
      <c r="DJ633" s="2357"/>
      <c r="DK633" s="2357"/>
      <c r="DL633" s="2357"/>
      <c r="DM633" s="2357">
        <f t="shared" si="14"/>
        <v>0</v>
      </c>
      <c r="DN633" s="2357"/>
      <c r="DO633" s="2357"/>
      <c r="DP633" s="2357"/>
      <c r="DQ633" s="2357"/>
      <c r="DR633" s="2357">
        <f t="shared" si="15"/>
        <v>0</v>
      </c>
      <c r="DS633" s="2357"/>
      <c r="DT633" s="2357"/>
      <c r="DU633" s="2357"/>
      <c r="DV633" s="2357"/>
      <c r="DX633" s="2053" t="str">
        <f t="shared" si="16"/>
        <v xml:space="preserve"> </v>
      </c>
      <c r="DY633" s="2185"/>
      <c r="DZ633" s="2185"/>
      <c r="EA633" s="2185"/>
      <c r="EB633" s="2054"/>
      <c r="EC633" s="2053" t="str">
        <f t="shared" si="17"/>
        <v xml:space="preserve"> </v>
      </c>
      <c r="ED633" s="2185"/>
      <c r="EE633" s="2185"/>
      <c r="EF633" s="2185"/>
      <c r="EG633" s="2054"/>
      <c r="EH633" s="2053" t="str">
        <f t="shared" si="18"/>
        <v xml:space="preserve"> </v>
      </c>
      <c r="EI633" s="2185"/>
      <c r="EJ633" s="2185"/>
      <c r="EK633" s="2185"/>
      <c r="EL633" s="2054"/>
      <c r="EM633" s="2053" t="str">
        <f t="shared" si="19"/>
        <v xml:space="preserve"> </v>
      </c>
      <c r="EN633" s="2185"/>
      <c r="EO633" s="2185"/>
      <c r="EP633" s="2185"/>
      <c r="EQ633" s="2054"/>
      <c r="ER633" s="2053" t="str">
        <f t="shared" si="20"/>
        <v xml:space="preserve"> </v>
      </c>
      <c r="ES633" s="2185"/>
      <c r="ET633" s="2185"/>
      <c r="EU633" s="2185"/>
      <c r="EV633" s="2054"/>
      <c r="EW633" s="2053" t="str">
        <f t="shared" si="21"/>
        <v xml:space="preserve"> </v>
      </c>
      <c r="EX633" s="2185"/>
      <c r="EY633" s="2185"/>
      <c r="EZ633" s="2185"/>
      <c r="FA633" s="2054"/>
    </row>
    <row r="634" spans="1:157" s="1820" customFormat="1" ht="12.75" customHeight="1">
      <c r="B634" s="2499" t="s">
        <v>483</v>
      </c>
      <c r="C634" s="2500"/>
      <c r="D634" s="2500"/>
      <c r="E634" s="2500"/>
      <c r="F634" s="2500"/>
      <c r="G634" s="2500"/>
      <c r="H634" s="2500"/>
      <c r="I634" s="2500"/>
      <c r="J634" s="2500"/>
      <c r="K634" s="2500"/>
      <c r="L634" s="2500"/>
      <c r="M634" s="2500"/>
      <c r="N634" s="2501"/>
      <c r="O634" s="2489" t="s">
        <v>2376</v>
      </c>
      <c r="P634" s="2193"/>
      <c r="Q634" s="2194"/>
      <c r="R634" s="2489" t="s">
        <v>2374</v>
      </c>
      <c r="S634" s="2193"/>
      <c r="T634" s="2194"/>
      <c r="U634" s="2560" t="s">
        <v>484</v>
      </c>
      <c r="V634" s="2560"/>
      <c r="W634" s="2561"/>
      <c r="X634" s="2489" t="s">
        <v>2150</v>
      </c>
      <c r="Y634" s="2193"/>
      <c r="Z634" s="2193"/>
      <c r="AA634" s="2193"/>
      <c r="AB634" s="2194"/>
      <c r="AC634" s="2406" t="s">
        <v>2148</v>
      </c>
      <c r="AD634" s="2407"/>
      <c r="AE634" s="2408"/>
      <c r="AF634" s="2489" t="s">
        <v>2151</v>
      </c>
      <c r="AG634" s="2193"/>
      <c r="AH634" s="2193"/>
      <c r="AI634" s="2193"/>
      <c r="AJ634" s="2194"/>
      <c r="AK634" s="2395" t="s">
        <v>2152</v>
      </c>
      <c r="AL634" s="2396"/>
      <c r="AM634" s="2396"/>
      <c r="AN634" s="2397"/>
      <c r="AO634" s="2041" t="s">
        <v>485</v>
      </c>
      <c r="AP634" s="2041"/>
      <c r="AQ634" s="2041"/>
      <c r="AR634" s="2041"/>
      <c r="AS634" s="2041"/>
      <c r="AT634" s="1821"/>
      <c r="AU634" s="1821"/>
      <c r="AV634" s="1821"/>
      <c r="AW634" s="1821"/>
      <c r="AX634" s="1821"/>
      <c r="AY634" s="1821"/>
      <c r="AZ634" s="181"/>
      <c r="BA634" s="181"/>
      <c r="BB634" s="181"/>
      <c r="BC634" s="181"/>
      <c r="BD634" s="181"/>
      <c r="BE634" s="2053">
        <f t="shared" si="0"/>
        <v>0</v>
      </c>
      <c r="BF634" s="2054"/>
      <c r="BG634" s="2071">
        <f t="shared" si="1"/>
        <v>0</v>
      </c>
      <c r="BH634" s="2073"/>
      <c r="BI634" s="2053">
        <f t="shared" si="2"/>
        <v>0</v>
      </c>
      <c r="BJ634" s="2054"/>
      <c r="BK634" s="2071">
        <f t="shared" si="3"/>
        <v>0</v>
      </c>
      <c r="BL634" s="2073"/>
      <c r="BM634" s="181"/>
      <c r="BN634" s="2068">
        <f t="shared" si="4"/>
        <v>0</v>
      </c>
      <c r="BO634" s="2069"/>
      <c r="BP634" s="2069"/>
      <c r="BQ634" s="2069"/>
      <c r="BR634" s="2070"/>
      <c r="BS634" s="2062">
        <f t="shared" si="5"/>
        <v>0</v>
      </c>
      <c r="BT634" s="2062"/>
      <c r="BU634" s="2062"/>
      <c r="BV634" s="2062"/>
      <c r="BW634" s="2062"/>
      <c r="BX634" s="2062">
        <f t="shared" si="6"/>
        <v>0</v>
      </c>
      <c r="BY634" s="2062"/>
      <c r="BZ634" s="2062"/>
      <c r="CA634" s="2062"/>
      <c r="CB634" s="2062"/>
      <c r="CC634" s="2062">
        <f t="shared" si="7"/>
        <v>0</v>
      </c>
      <c r="CD634" s="2062"/>
      <c r="CE634" s="2062"/>
      <c r="CF634" s="2062"/>
      <c r="CG634" s="2062"/>
      <c r="CH634" s="2062">
        <f t="shared" si="8"/>
        <v>0</v>
      </c>
      <c r="CI634" s="2062"/>
      <c r="CJ634" s="2062"/>
      <c r="CK634" s="2062"/>
      <c r="CL634" s="2062"/>
      <c r="CM634" s="2062">
        <f t="shared" si="9"/>
        <v>0</v>
      </c>
      <c r="CN634" s="2062"/>
      <c r="CO634" s="2062"/>
      <c r="CP634" s="2062"/>
      <c r="CQ634" s="2062"/>
      <c r="CR634" s="264"/>
      <c r="CS634" s="2357">
        <f t="shared" si="10"/>
        <v>0</v>
      </c>
      <c r="CT634" s="2357"/>
      <c r="CU634" s="2357"/>
      <c r="CV634" s="2357"/>
      <c r="CW634" s="2357"/>
      <c r="CX634" s="2357">
        <f t="shared" si="11"/>
        <v>0</v>
      </c>
      <c r="CY634" s="2357"/>
      <c r="CZ634" s="2357"/>
      <c r="DA634" s="2357"/>
      <c r="DB634" s="2357"/>
      <c r="DC634" s="2357">
        <f t="shared" si="12"/>
        <v>0</v>
      </c>
      <c r="DD634" s="2357"/>
      <c r="DE634" s="2357"/>
      <c r="DF634" s="2357"/>
      <c r="DG634" s="2357"/>
      <c r="DH634" s="2357">
        <f t="shared" si="13"/>
        <v>0</v>
      </c>
      <c r="DI634" s="2357"/>
      <c r="DJ634" s="2357"/>
      <c r="DK634" s="2357"/>
      <c r="DL634" s="2357"/>
      <c r="DM634" s="2357">
        <f t="shared" si="14"/>
        <v>0</v>
      </c>
      <c r="DN634" s="2357"/>
      <c r="DO634" s="2357"/>
      <c r="DP634" s="2357"/>
      <c r="DQ634" s="2357"/>
      <c r="DR634" s="2357">
        <f t="shared" si="15"/>
        <v>0</v>
      </c>
      <c r="DS634" s="2357"/>
      <c r="DT634" s="2357"/>
      <c r="DU634" s="2357"/>
      <c r="DV634" s="2357"/>
      <c r="DX634" s="2053" t="str">
        <f t="shared" si="16"/>
        <v xml:space="preserve"> </v>
      </c>
      <c r="DY634" s="2185"/>
      <c r="DZ634" s="2185"/>
      <c r="EA634" s="2185"/>
      <c r="EB634" s="2054"/>
      <c r="EC634" s="2053" t="str">
        <f t="shared" si="17"/>
        <v xml:space="preserve"> </v>
      </c>
      <c r="ED634" s="2185"/>
      <c r="EE634" s="2185"/>
      <c r="EF634" s="2185"/>
      <c r="EG634" s="2054"/>
      <c r="EH634" s="2053" t="str">
        <f t="shared" si="18"/>
        <v xml:space="preserve"> </v>
      </c>
      <c r="EI634" s="2185"/>
      <c r="EJ634" s="2185"/>
      <c r="EK634" s="2185"/>
      <c r="EL634" s="2054"/>
      <c r="EM634" s="2053" t="str">
        <f t="shared" si="19"/>
        <v xml:space="preserve"> </v>
      </c>
      <c r="EN634" s="2185"/>
      <c r="EO634" s="2185"/>
      <c r="EP634" s="2185"/>
      <c r="EQ634" s="2054"/>
      <c r="ER634" s="2053" t="str">
        <f t="shared" si="20"/>
        <v xml:space="preserve"> </v>
      </c>
      <c r="ES634" s="2185"/>
      <c r="ET634" s="2185"/>
      <c r="EU634" s="2185"/>
      <c r="EV634" s="2054"/>
      <c r="EW634" s="2053" t="str">
        <f t="shared" si="21"/>
        <v xml:space="preserve"> </v>
      </c>
      <c r="EX634" s="2185"/>
      <c r="EY634" s="2185"/>
      <c r="EZ634" s="2185"/>
      <c r="FA634" s="2054"/>
    </row>
    <row r="635" spans="1:157" s="1820" customFormat="1" ht="12.75">
      <c r="B635" s="2553"/>
      <c r="C635" s="2223"/>
      <c r="D635" s="2223"/>
      <c r="E635" s="2223"/>
      <c r="F635" s="2223"/>
      <c r="G635" s="2223"/>
      <c r="H635" s="2223"/>
      <c r="I635" s="2223"/>
      <c r="J635" s="2223"/>
      <c r="K635" s="2223"/>
      <c r="L635" s="2223"/>
      <c r="M635" s="2223"/>
      <c r="N635" s="2554"/>
      <c r="O635" s="2324"/>
      <c r="P635" s="2325"/>
      <c r="Q635" s="2326"/>
      <c r="R635" s="2324"/>
      <c r="S635" s="2325"/>
      <c r="T635" s="2326"/>
      <c r="U635" s="2562"/>
      <c r="V635" s="2562"/>
      <c r="W635" s="2563"/>
      <c r="X635" s="2324"/>
      <c r="Y635" s="2325"/>
      <c r="Z635" s="2325"/>
      <c r="AA635" s="2325"/>
      <c r="AB635" s="2326"/>
      <c r="AC635" s="2409"/>
      <c r="AD635" s="2410"/>
      <c r="AE635" s="2411"/>
      <c r="AF635" s="2324"/>
      <c r="AG635" s="2325"/>
      <c r="AH635" s="2325"/>
      <c r="AI635" s="2325"/>
      <c r="AJ635" s="2326"/>
      <c r="AK635" s="2398"/>
      <c r="AL635" s="2399"/>
      <c r="AM635" s="2399"/>
      <c r="AN635" s="2400"/>
      <c r="AO635" s="2041"/>
      <c r="AP635" s="2041"/>
      <c r="AQ635" s="2041"/>
      <c r="AR635" s="2041"/>
      <c r="AS635" s="2041"/>
      <c r="AT635" s="1821"/>
      <c r="AU635" s="1821"/>
      <c r="AV635" s="1821"/>
      <c r="AW635" s="1821"/>
      <c r="AX635" s="1821"/>
      <c r="AY635" s="1821"/>
      <c r="AZ635" s="181"/>
      <c r="BA635" s="181"/>
      <c r="BB635" s="181"/>
      <c r="BC635" s="181"/>
      <c r="BD635" s="181"/>
      <c r="BE635" s="181"/>
      <c r="BF635" s="181"/>
      <c r="BG635" s="2053">
        <f>SUM(BG610:BH634)</f>
        <v>38</v>
      </c>
      <c r="BH635" s="2054"/>
      <c r="BI635" s="181"/>
      <c r="BJ635" s="181"/>
      <c r="BK635" s="2053">
        <f>SUM(BK610:BL634)</f>
        <v>13</v>
      </c>
      <c r="BL635" s="2054"/>
      <c r="BM635" s="181"/>
      <c r="BN635" s="2053">
        <f>SUM(BN610:BR634)</f>
        <v>0</v>
      </c>
      <c r="BO635" s="2185"/>
      <c r="BP635" s="2185"/>
      <c r="BQ635" s="2185"/>
      <c r="BR635" s="2054"/>
      <c r="BS635" s="2186">
        <f>SUM(BS610:BW634)</f>
        <v>15</v>
      </c>
      <c r="BT635" s="2186"/>
      <c r="BU635" s="2186"/>
      <c r="BV635" s="2186"/>
      <c r="BW635" s="2186"/>
      <c r="BX635" s="2186">
        <f>SUM(BX610:CB634)</f>
        <v>19</v>
      </c>
      <c r="BY635" s="2186"/>
      <c r="BZ635" s="2186"/>
      <c r="CA635" s="2186"/>
      <c r="CB635" s="2186"/>
      <c r="CC635" s="2186">
        <f>SUM(CC610:CG634)</f>
        <v>30</v>
      </c>
      <c r="CD635" s="2186"/>
      <c r="CE635" s="2186"/>
      <c r="CF635" s="2186"/>
      <c r="CG635" s="2186"/>
      <c r="CH635" s="2186">
        <f>SUM(CH610:CL634)</f>
        <v>0</v>
      </c>
      <c r="CI635" s="2186"/>
      <c r="CJ635" s="2186"/>
      <c r="CK635" s="2186"/>
      <c r="CL635" s="2186"/>
      <c r="CM635" s="2186">
        <f>SUM(CM610:CQ634)</f>
        <v>0</v>
      </c>
      <c r="CN635" s="2186"/>
      <c r="CO635" s="2186"/>
      <c r="CP635" s="2186"/>
      <c r="CQ635" s="2186"/>
      <c r="CR635" s="696"/>
      <c r="CS635" s="2186">
        <f>SUM(CS610:CW634)</f>
        <v>0</v>
      </c>
      <c r="CT635" s="2186"/>
      <c r="CU635" s="2186"/>
      <c r="CV635" s="2186"/>
      <c r="CW635" s="2186"/>
      <c r="CX635" s="2186">
        <f>SUM(CX610:DB634)</f>
        <v>5</v>
      </c>
      <c r="CY635" s="2186"/>
      <c r="CZ635" s="2186"/>
      <c r="DA635" s="2186"/>
      <c r="DB635" s="2186"/>
      <c r="DC635" s="2186">
        <f>SUM(DC610:DG634)</f>
        <v>5</v>
      </c>
      <c r="DD635" s="2186"/>
      <c r="DE635" s="2186"/>
      <c r="DF635" s="2186"/>
      <c r="DG635" s="2186"/>
      <c r="DH635" s="2186">
        <f>SUM(DH610:DL634)</f>
        <v>3</v>
      </c>
      <c r="DI635" s="2186"/>
      <c r="DJ635" s="2186"/>
      <c r="DK635" s="2186"/>
      <c r="DL635" s="2186"/>
      <c r="DM635" s="2186">
        <f>SUM(DM610:DQ634)</f>
        <v>0</v>
      </c>
      <c r="DN635" s="2186"/>
      <c r="DO635" s="2186"/>
      <c r="DP635" s="2186"/>
      <c r="DQ635" s="2186"/>
      <c r="DR635" s="2186">
        <f>SUM(DR610:DV634)</f>
        <v>0</v>
      </c>
      <c r="DS635" s="2186"/>
      <c r="DT635" s="2186"/>
      <c r="DU635" s="2186"/>
      <c r="DV635" s="2186"/>
      <c r="DX635" s="2186">
        <f>SUM(DX610:EB634)</f>
        <v>0</v>
      </c>
      <c r="DY635" s="2186"/>
      <c r="DZ635" s="2186"/>
      <c r="EA635" s="2186"/>
      <c r="EB635" s="2186"/>
      <c r="EC635" s="2186">
        <f>SUM(EC610:EG634)</f>
        <v>2492</v>
      </c>
      <c r="ED635" s="2186"/>
      <c r="EE635" s="2186"/>
      <c r="EF635" s="2186"/>
      <c r="EG635" s="2186"/>
      <c r="EH635" s="2186">
        <f>SUM(EH610:EL634)</f>
        <v>2193</v>
      </c>
      <c r="EI635" s="2186"/>
      <c r="EJ635" s="2186"/>
      <c r="EK635" s="2186"/>
      <c r="EL635" s="2186"/>
      <c r="EM635" s="2186">
        <f>SUM(EM610:EQ634)</f>
        <v>2528</v>
      </c>
      <c r="EN635" s="2186"/>
      <c r="EO635" s="2186"/>
      <c r="EP635" s="2186"/>
      <c r="EQ635" s="2186"/>
      <c r="ER635" s="2186">
        <f>SUM(ER610:EV634)</f>
        <v>0</v>
      </c>
      <c r="ES635" s="2186"/>
      <c r="ET635" s="2186"/>
      <c r="EU635" s="2186"/>
      <c r="EV635" s="2186"/>
      <c r="EW635" s="2186">
        <f>SUM(EW610:FA634)</f>
        <v>0</v>
      </c>
      <c r="EX635" s="2186"/>
      <c r="EY635" s="2186"/>
      <c r="EZ635" s="2186"/>
      <c r="FA635" s="2186"/>
    </row>
    <row r="636" spans="1:157" s="1820" customFormat="1" ht="12.75">
      <c r="B636" s="2555"/>
      <c r="C636" s="2223"/>
      <c r="D636" s="2223"/>
      <c r="E636" s="2223"/>
      <c r="F636" s="2223"/>
      <c r="G636" s="2223"/>
      <c r="H636" s="2223"/>
      <c r="I636" s="2223"/>
      <c r="J636" s="2223"/>
      <c r="K636" s="2223"/>
      <c r="L636" s="2223"/>
      <c r="M636" s="2223"/>
      <c r="N636" s="2554"/>
      <c r="O636" s="2327"/>
      <c r="P636" s="2328"/>
      <c r="Q636" s="2329"/>
      <c r="R636" s="2327"/>
      <c r="S636" s="2328"/>
      <c r="T636" s="2329"/>
      <c r="U636" s="2564"/>
      <c r="V636" s="2564"/>
      <c r="W636" s="2565"/>
      <c r="X636" s="2327"/>
      <c r="Y636" s="2328"/>
      <c r="Z636" s="2328"/>
      <c r="AA636" s="2328"/>
      <c r="AB636" s="2329"/>
      <c r="AC636" s="2412"/>
      <c r="AD636" s="2413"/>
      <c r="AE636" s="2414"/>
      <c r="AF636" s="2327"/>
      <c r="AG636" s="2328"/>
      <c r="AH636" s="2328"/>
      <c r="AI636" s="2328"/>
      <c r="AJ636" s="2329"/>
      <c r="AK636" s="2401"/>
      <c r="AL636" s="2402"/>
      <c r="AM636" s="2402"/>
      <c r="AN636" s="2403"/>
      <c r="AO636" s="2041"/>
      <c r="AP636" s="2041"/>
      <c r="AQ636" s="2041"/>
      <c r="AR636" s="2041"/>
      <c r="AS636" s="2041"/>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53">
        <f>BN635+BS635+BX635+CC635+CH635+CM635</f>
        <v>64</v>
      </c>
      <c r="CN636" s="2185"/>
      <c r="CO636" s="2185"/>
      <c r="CP636" s="2185"/>
      <c r="CQ636" s="2054"/>
      <c r="CR636" s="696"/>
      <c r="CS636" s="181"/>
      <c r="CT636" s="181"/>
      <c r="CU636" s="181"/>
      <c r="CV636" s="181"/>
      <c r="CW636" s="181"/>
      <c r="CX636" s="181"/>
      <c r="CY636" s="181"/>
      <c r="CZ636" s="181"/>
      <c r="DA636" s="181"/>
      <c r="DB636" s="181"/>
      <c r="DC636" s="181"/>
      <c r="DD636" s="181"/>
      <c r="DE636" s="181"/>
      <c r="DF636" s="181"/>
    </row>
    <row r="637" spans="1:157" ht="12.75">
      <c r="B637" s="83" t="s">
        <v>117</v>
      </c>
      <c r="C637" s="2177" t="s">
        <v>2676</v>
      </c>
      <c r="D637" s="2045"/>
      <c r="E637" s="2045"/>
      <c r="F637" s="2045"/>
      <c r="G637" s="2045"/>
      <c r="H637" s="2045"/>
      <c r="I637" s="2045"/>
      <c r="J637" s="2045"/>
      <c r="K637" s="2045"/>
      <c r="L637" s="2045"/>
      <c r="M637" s="2045"/>
      <c r="N637" s="2405"/>
      <c r="O637" s="2165">
        <v>420</v>
      </c>
      <c r="P637" s="2166"/>
      <c r="Q637" s="2167"/>
      <c r="R637" s="2165">
        <v>420</v>
      </c>
      <c r="S637" s="2166"/>
      <c r="T637" s="2167"/>
      <c r="U637" s="2011">
        <v>4.6899999999999997E-2</v>
      </c>
      <c r="V637" s="2012"/>
      <c r="W637" s="2013"/>
      <c r="X637" s="2283" t="s">
        <v>2149</v>
      </c>
      <c r="Y637" s="2557"/>
      <c r="Z637" s="2557"/>
      <c r="AA637" s="2557"/>
      <c r="AB637" s="2558"/>
      <c r="AC637" s="2014">
        <v>1</v>
      </c>
      <c r="AD637" s="2015"/>
      <c r="AE637" s="2016"/>
      <c r="AF637" s="2257">
        <v>194867</v>
      </c>
      <c r="AG637" s="2258"/>
      <c r="AH637" s="2258"/>
      <c r="AI637" s="2258"/>
      <c r="AJ637" s="2259"/>
      <c r="AK637" s="2358"/>
      <c r="AL637" s="2359"/>
      <c r="AM637" s="2359"/>
      <c r="AN637" s="2360"/>
      <c r="AO637" s="2039">
        <v>3134700</v>
      </c>
      <c r="AP637" s="2039"/>
      <c r="AQ637" s="2039"/>
      <c r="AR637" s="2039"/>
      <c r="AS637" s="2039"/>
      <c r="AT637" s="238"/>
      <c r="AU637" s="238"/>
      <c r="AV637" s="238"/>
      <c r="AW637" s="238"/>
      <c r="AX637" s="238"/>
      <c r="AY637" s="238"/>
      <c r="AZ637" s="58"/>
      <c r="BA637" s="58" t="s">
        <v>1382</v>
      </c>
      <c r="BB637" s="58"/>
      <c r="BC637" s="58"/>
      <c r="BD637" s="58"/>
      <c r="BE637" s="58"/>
      <c r="BF637" s="58"/>
      <c r="BG637" s="58"/>
      <c r="BH637" s="58"/>
      <c r="BI637" s="58"/>
      <c r="BJ637" s="58"/>
      <c r="BK637" s="58"/>
      <c r="BL637" s="58"/>
      <c r="BM637" s="58"/>
      <c r="BR637" s="1469">
        <f>BN635*1</f>
        <v>0</v>
      </c>
      <c r="BS637" s="58"/>
      <c r="BT637" s="58"/>
      <c r="BU637" s="58"/>
      <c r="BV637" s="58"/>
      <c r="BW637" s="1469">
        <f>BS635*1</f>
        <v>15</v>
      </c>
      <c r="BX637" s="58"/>
      <c r="BY637" s="58"/>
      <c r="BZ637" s="58"/>
      <c r="CA637" s="58"/>
      <c r="CB637" s="1469">
        <f>BX635*2</f>
        <v>38</v>
      </c>
      <c r="CC637" s="58"/>
      <c r="CD637" s="58"/>
      <c r="CE637" s="58"/>
      <c r="CF637" s="58"/>
      <c r="CG637" s="1469">
        <f>CC635*3</f>
        <v>90</v>
      </c>
      <c r="CH637" s="58"/>
      <c r="CI637" s="58"/>
      <c r="CJ637" s="58"/>
      <c r="CK637" s="58"/>
      <c r="CL637" s="1469">
        <f>CH635*4</f>
        <v>0</v>
      </c>
      <c r="CM637" s="58"/>
      <c r="CN637" s="58"/>
      <c r="CO637" s="58"/>
      <c r="CP637" s="58"/>
      <c r="CQ637" s="1469">
        <f>CM635*5</f>
        <v>0</v>
      </c>
      <c r="CS637" s="1469">
        <f>BR637+BW637+CB637+CG637+CL637+CQ637</f>
        <v>143</v>
      </c>
      <c r="CT637" s="134" t="s">
        <v>2388</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177" t="s">
        <v>2608</v>
      </c>
      <c r="D638" s="2045"/>
      <c r="E638" s="2045"/>
      <c r="F638" s="2045"/>
      <c r="G638" s="2045"/>
      <c r="H638" s="2045"/>
      <c r="I638" s="2045"/>
      <c r="J638" s="2045"/>
      <c r="K638" s="2045"/>
      <c r="L638" s="2045"/>
      <c r="M638" s="2045"/>
      <c r="N638" s="2405"/>
      <c r="O638" s="2165">
        <v>660</v>
      </c>
      <c r="P638" s="2166"/>
      <c r="Q638" s="2167"/>
      <c r="R638" s="2165">
        <v>660</v>
      </c>
      <c r="S638" s="2166"/>
      <c r="T638" s="2167"/>
      <c r="U638" s="2011">
        <v>0.03</v>
      </c>
      <c r="V638" s="2012"/>
      <c r="W638" s="2013"/>
      <c r="X638" s="2283" t="s">
        <v>489</v>
      </c>
      <c r="Y638" s="2557"/>
      <c r="Z638" s="2557"/>
      <c r="AA638" s="2557"/>
      <c r="AB638" s="2558"/>
      <c r="AC638" s="2014">
        <v>2</v>
      </c>
      <c r="AD638" s="2015"/>
      <c r="AE638" s="2016"/>
      <c r="AF638" s="2257">
        <f>0.0042*AO638</f>
        <v>54613.666799999999</v>
      </c>
      <c r="AG638" s="2258"/>
      <c r="AH638" s="2258"/>
      <c r="AI638" s="2258"/>
      <c r="AJ638" s="2259"/>
      <c r="AK638" s="2358"/>
      <c r="AL638" s="2359"/>
      <c r="AM638" s="2359"/>
      <c r="AN638" s="2360"/>
      <c r="AO638" s="2039">
        <v>13003254</v>
      </c>
      <c r="AP638" s="2039"/>
      <c r="AQ638" s="2039"/>
      <c r="AR638" s="2039"/>
      <c r="AS638" s="2039"/>
      <c r="AT638" s="238"/>
      <c r="AU638" s="238"/>
      <c r="AV638" s="238"/>
      <c r="AW638" s="238"/>
      <c r="AX638" s="238"/>
      <c r="AY638" s="238"/>
      <c r="AZ638" s="61"/>
      <c r="BA638" s="58" t="s">
        <v>490</v>
      </c>
      <c r="BB638" s="61"/>
      <c r="BC638" s="61"/>
      <c r="BD638" s="61"/>
      <c r="BE638" s="61"/>
      <c r="BF638" s="61"/>
      <c r="BG638" s="61"/>
      <c r="BH638" s="61"/>
      <c r="BI638" s="61"/>
      <c r="BJ638" s="61"/>
      <c r="BK638" s="61"/>
      <c r="BL638" s="61"/>
      <c r="BM638" s="61"/>
      <c r="CR638" s="264"/>
      <c r="CS638" s="58"/>
      <c r="CT638" s="58"/>
      <c r="CU638" s="58"/>
      <c r="CV638" s="58"/>
      <c r="CW638" s="58"/>
      <c r="CX638" s="58"/>
      <c r="CY638" s="58"/>
      <c r="CZ638" s="58"/>
      <c r="DA638" s="58"/>
      <c r="DB638" s="58"/>
      <c r="DC638" s="58"/>
      <c r="DD638" s="58"/>
      <c r="DE638" s="58"/>
      <c r="DF638" s="58"/>
      <c r="DX638" s="2556" t="e">
        <f t="shared" ref="DX638:DX662" si="22">DX610*(BN610/$BN$635)</f>
        <v>#VALUE!</v>
      </c>
      <c r="DY638" s="2556"/>
      <c r="DZ638" s="2556"/>
      <c r="EA638" s="2556"/>
      <c r="EB638" s="2556"/>
      <c r="EC638" s="2556">
        <f t="shared" ref="EC638:EC662" si="23">EC610*(BS610/$BS$635)</f>
        <v>121.33333333333333</v>
      </c>
      <c r="ED638" s="2556"/>
      <c r="EE638" s="2556"/>
      <c r="EF638" s="2556"/>
      <c r="EG638" s="2556"/>
      <c r="EH638" s="2556" t="e">
        <f t="shared" ref="EH638:EH662" si="24">EH610*(BX610/$BX$635)</f>
        <v>#VALUE!</v>
      </c>
      <c r="EI638" s="2556"/>
      <c r="EJ638" s="2556"/>
      <c r="EK638" s="2556"/>
      <c r="EL638" s="2556"/>
      <c r="EM638" s="2556" t="e">
        <f t="shared" ref="EM638:EM662" si="25">EM610*(CC610/$CC$635)</f>
        <v>#VALUE!</v>
      </c>
      <c r="EN638" s="2556"/>
      <c r="EO638" s="2556"/>
      <c r="EP638" s="2556"/>
      <c r="EQ638" s="2556"/>
      <c r="ER638" s="2556" t="e">
        <f t="shared" ref="ER638:ER662" si="26">ER610*(CH610/$CH$635)</f>
        <v>#VALUE!</v>
      </c>
      <c r="ES638" s="2556"/>
      <c r="ET638" s="2556"/>
      <c r="EU638" s="2556"/>
      <c r="EV638" s="2556"/>
      <c r="EW638" s="2556" t="e">
        <f t="shared" ref="EW638:EW662" si="27">EW610*(CM610/$CM$635)</f>
        <v>#VALUE!</v>
      </c>
      <c r="EX638" s="2556"/>
      <c r="EY638" s="2556"/>
      <c r="EZ638" s="2556"/>
      <c r="FA638" s="2556"/>
    </row>
    <row r="639" spans="1:157" ht="12.75" customHeight="1">
      <c r="B639" s="84" t="s">
        <v>124</v>
      </c>
      <c r="C639" s="2177" t="s">
        <v>2609</v>
      </c>
      <c r="D639" s="2045"/>
      <c r="E639" s="2045"/>
      <c r="F639" s="2045"/>
      <c r="G639" s="2045"/>
      <c r="H639" s="2045"/>
      <c r="I639" s="2045"/>
      <c r="J639" s="2045"/>
      <c r="K639" s="2045"/>
      <c r="L639" s="2045"/>
      <c r="M639" s="2045"/>
      <c r="N639" s="2405"/>
      <c r="O639" s="2165"/>
      <c r="P639" s="2166"/>
      <c r="Q639" s="2167"/>
      <c r="R639" s="2165">
        <v>660</v>
      </c>
      <c r="S639" s="2166"/>
      <c r="T639" s="2167"/>
      <c r="U639" s="2559" t="s">
        <v>2610</v>
      </c>
      <c r="V639" s="2012"/>
      <c r="W639" s="2013"/>
      <c r="X639" s="2283" t="s">
        <v>307</v>
      </c>
      <c r="Y639" s="2557"/>
      <c r="Z639" s="2557"/>
      <c r="AA639" s="2557"/>
      <c r="AB639" s="2558"/>
      <c r="AC639" s="2014">
        <v>4</v>
      </c>
      <c r="AD639" s="2015"/>
      <c r="AE639" s="2016"/>
      <c r="AF639" s="2257"/>
      <c r="AG639" s="2258"/>
      <c r="AH639" s="2258"/>
      <c r="AI639" s="2258"/>
      <c r="AJ639" s="2259"/>
      <c r="AK639" s="2358"/>
      <c r="AL639" s="2359"/>
      <c r="AM639" s="2359"/>
      <c r="AN639" s="2360"/>
      <c r="AO639" s="2039">
        <v>3235000</v>
      </c>
      <c r="AP639" s="2039"/>
      <c r="AQ639" s="2039"/>
      <c r="AR639" s="2039"/>
      <c r="AS639" s="2039"/>
      <c r="AT639" s="238"/>
      <c r="AU639" s="238"/>
      <c r="AV639" s="238"/>
      <c r="AW639" s="238"/>
      <c r="AX639" s="238"/>
      <c r="AY639" s="238"/>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4"/>
      <c r="CS639" s="58"/>
      <c r="CT639" s="58"/>
      <c r="CU639" s="58"/>
      <c r="CV639" s="58"/>
      <c r="CW639" s="58"/>
      <c r="CX639" s="58"/>
      <c r="CY639" s="58"/>
      <c r="CZ639" s="58"/>
      <c r="DA639" s="58"/>
      <c r="DB639" s="58"/>
      <c r="DC639" s="58"/>
      <c r="DD639" s="58"/>
      <c r="DE639" s="58"/>
      <c r="DF639" s="58"/>
      <c r="DX639" s="2556" t="e">
        <f t="shared" si="22"/>
        <v>#VALUE!</v>
      </c>
      <c r="DY639" s="2556"/>
      <c r="DZ639" s="2556"/>
      <c r="EA639" s="2556"/>
      <c r="EB639" s="2556"/>
      <c r="EC639" s="2556" t="e">
        <f t="shared" si="23"/>
        <v>#VALUE!</v>
      </c>
      <c r="ED639" s="2556"/>
      <c r="EE639" s="2556"/>
      <c r="EF639" s="2556"/>
      <c r="EG639" s="2556"/>
      <c r="EH639" s="2556">
        <f t="shared" si="24"/>
        <v>114.47368421052632</v>
      </c>
      <c r="EI639" s="2556"/>
      <c r="EJ639" s="2556"/>
      <c r="EK639" s="2556"/>
      <c r="EL639" s="2556"/>
      <c r="EM639" s="2556" t="e">
        <f t="shared" si="25"/>
        <v>#VALUE!</v>
      </c>
      <c r="EN639" s="2556"/>
      <c r="EO639" s="2556"/>
      <c r="EP639" s="2556"/>
      <c r="EQ639" s="2556"/>
      <c r="ER639" s="2556" t="e">
        <f t="shared" si="26"/>
        <v>#VALUE!</v>
      </c>
      <c r="ES639" s="2556"/>
      <c r="ET639" s="2556"/>
      <c r="EU639" s="2556"/>
      <c r="EV639" s="2556"/>
      <c r="EW639" s="2556" t="e">
        <f t="shared" si="27"/>
        <v>#VALUE!</v>
      </c>
      <c r="EX639" s="2556"/>
      <c r="EY639" s="2556"/>
      <c r="EZ639" s="2556"/>
      <c r="FA639" s="2556"/>
    </row>
    <row r="640" spans="1:157" ht="12.75">
      <c r="B640" s="84" t="s">
        <v>615</v>
      </c>
      <c r="C640" s="2177" t="s">
        <v>2520</v>
      </c>
      <c r="D640" s="2045"/>
      <c r="E640" s="2045"/>
      <c r="F640" s="2045"/>
      <c r="G640" s="2045"/>
      <c r="H640" s="2045"/>
      <c r="I640" s="2045"/>
      <c r="J640" s="2045"/>
      <c r="K640" s="2045"/>
      <c r="L640" s="2045"/>
      <c r="M640" s="2045"/>
      <c r="N640" s="2405"/>
      <c r="O640" s="2165">
        <v>660</v>
      </c>
      <c r="P640" s="2166"/>
      <c r="Q640" s="2167"/>
      <c r="R640" s="2165">
        <v>660</v>
      </c>
      <c r="S640" s="2166"/>
      <c r="T640" s="2167"/>
      <c r="U640" s="2011">
        <v>0.03</v>
      </c>
      <c r="V640" s="2012"/>
      <c r="W640" s="2013"/>
      <c r="X640" s="2283" t="s">
        <v>489</v>
      </c>
      <c r="Y640" s="2557"/>
      <c r="Z640" s="2557"/>
      <c r="AA640" s="2557"/>
      <c r="AB640" s="2558"/>
      <c r="AC640" s="2014">
        <v>3</v>
      </c>
      <c r="AD640" s="2015"/>
      <c r="AE640" s="2016"/>
      <c r="AF640" s="2257"/>
      <c r="AG640" s="2258"/>
      <c r="AH640" s="2258"/>
      <c r="AI640" s="2258"/>
      <c r="AJ640" s="2259"/>
      <c r="AK640" s="2358"/>
      <c r="AL640" s="2359"/>
      <c r="AM640" s="2359"/>
      <c r="AN640" s="2360"/>
      <c r="AO640" s="2039">
        <v>4000000</v>
      </c>
      <c r="AP640" s="2039"/>
      <c r="AQ640" s="2039"/>
      <c r="AR640" s="2039"/>
      <c r="AS640" s="2039"/>
      <c r="AT640" s="238"/>
      <c r="AU640" s="238"/>
      <c r="AV640" s="238"/>
      <c r="AW640" s="238"/>
      <c r="AX640" s="238"/>
      <c r="AY640" s="238"/>
      <c r="AZ640" s="61"/>
      <c r="BA640" s="58" t="s">
        <v>2149</v>
      </c>
      <c r="BB640" s="61"/>
      <c r="BC640" s="61"/>
      <c r="BD640" s="61"/>
      <c r="BE640" s="61"/>
      <c r="BF640" s="61"/>
      <c r="BG640" s="61"/>
      <c r="BH640" s="61"/>
      <c r="BI640" s="61"/>
      <c r="BJ640" s="61"/>
      <c r="BK640" s="61"/>
      <c r="BL640" s="61"/>
      <c r="BM640" s="61"/>
      <c r="BN640" s="2068">
        <f>IF(J772="SRO/Studio",O772,0)</f>
        <v>0</v>
      </c>
      <c r="BO640" s="2069"/>
      <c r="BP640" s="2069"/>
      <c r="BQ640" s="2069"/>
      <c r="BR640" s="2070"/>
      <c r="BS640" s="2062">
        <f>IF(J772="1 Bedroom",O772,0)</f>
        <v>0</v>
      </c>
      <c r="BT640" s="2062"/>
      <c r="BU640" s="2062"/>
      <c r="BV640" s="2062"/>
      <c r="BW640" s="2062"/>
      <c r="BX640" s="2062">
        <f>IF(J772="2 Bedrooms",O772,0)</f>
        <v>1</v>
      </c>
      <c r="BY640" s="2062"/>
      <c r="BZ640" s="2062"/>
      <c r="CA640" s="2062"/>
      <c r="CB640" s="2062"/>
      <c r="CC640" s="2062">
        <f>IF(J772="3 Bedrooms",O772,0)</f>
        <v>0</v>
      </c>
      <c r="CD640" s="2062"/>
      <c r="CE640" s="2062"/>
      <c r="CF640" s="2062"/>
      <c r="CG640" s="2062"/>
      <c r="CH640" s="2062">
        <f>IF(J772="4 Bedrooms",O772,0)</f>
        <v>0</v>
      </c>
      <c r="CI640" s="2062"/>
      <c r="CJ640" s="2062"/>
      <c r="CK640" s="2062"/>
      <c r="CL640" s="2062"/>
      <c r="CM640" s="2062">
        <f>IF(J772="5 Bedrooms",O772,0)</f>
        <v>0</v>
      </c>
      <c r="CN640" s="2062"/>
      <c r="CO640" s="2062"/>
      <c r="CP640" s="2062"/>
      <c r="CQ640" s="2062"/>
      <c r="CR640" s="264"/>
      <c r="CS640" s="58"/>
      <c r="CT640" s="58"/>
      <c r="CU640" s="58"/>
      <c r="CV640" s="58"/>
      <c r="CW640" s="58"/>
      <c r="CX640" s="58"/>
      <c r="CY640" s="58"/>
      <c r="CZ640" s="58"/>
      <c r="DA640" s="58"/>
      <c r="DB640" s="58"/>
      <c r="DC640" s="58"/>
      <c r="DD640" s="58"/>
      <c r="DE640" s="58"/>
      <c r="DF640" s="58"/>
      <c r="DX640" s="2556" t="e">
        <f t="shared" si="22"/>
        <v>#VALUE!</v>
      </c>
      <c r="DY640" s="2556"/>
      <c r="DZ640" s="2556"/>
      <c r="EA640" s="2556"/>
      <c r="EB640" s="2556"/>
      <c r="EC640" s="2556" t="e">
        <f t="shared" si="23"/>
        <v>#VALUE!</v>
      </c>
      <c r="ED640" s="2556"/>
      <c r="EE640" s="2556"/>
      <c r="EF640" s="2556"/>
      <c r="EG640" s="2556"/>
      <c r="EH640" s="2556" t="e">
        <f t="shared" si="24"/>
        <v>#VALUE!</v>
      </c>
      <c r="EI640" s="2556"/>
      <c r="EJ640" s="2556"/>
      <c r="EK640" s="2556"/>
      <c r="EL640" s="2556"/>
      <c r="EM640" s="2556">
        <f t="shared" si="25"/>
        <v>50</v>
      </c>
      <c r="EN640" s="2556"/>
      <c r="EO640" s="2556"/>
      <c r="EP640" s="2556"/>
      <c r="EQ640" s="2556"/>
      <c r="ER640" s="2556" t="e">
        <f t="shared" si="26"/>
        <v>#VALUE!</v>
      </c>
      <c r="ES640" s="2556"/>
      <c r="ET640" s="2556"/>
      <c r="EU640" s="2556"/>
      <c r="EV640" s="2556"/>
      <c r="EW640" s="2556" t="e">
        <f t="shared" si="27"/>
        <v>#VALUE!</v>
      </c>
      <c r="EX640" s="2556"/>
      <c r="EY640" s="2556"/>
      <c r="EZ640" s="2556"/>
      <c r="FA640" s="2556"/>
    </row>
    <row r="641" spans="1:157" ht="12.75">
      <c r="B641" s="84" t="s">
        <v>820</v>
      </c>
      <c r="C641" s="2177" t="s">
        <v>2618</v>
      </c>
      <c r="D641" s="2045"/>
      <c r="E641" s="2045"/>
      <c r="F641" s="2045"/>
      <c r="G641" s="2045"/>
      <c r="H641" s="2045"/>
      <c r="I641" s="2045"/>
      <c r="J641" s="2045"/>
      <c r="K641" s="2045"/>
      <c r="L641" s="2045"/>
      <c r="M641" s="2045"/>
      <c r="N641" s="2405"/>
      <c r="O641" s="2372"/>
      <c r="P641" s="2373"/>
      <c r="Q641" s="2374"/>
      <c r="R641" s="2165"/>
      <c r="S641" s="2166"/>
      <c r="T641" s="2167"/>
      <c r="U641" s="2011"/>
      <c r="V641" s="2012"/>
      <c r="W641" s="2013"/>
      <c r="X641" s="2283"/>
      <c r="Y641" s="2557"/>
      <c r="Z641" s="2557"/>
      <c r="AA641" s="2557"/>
      <c r="AB641" s="2558"/>
      <c r="AC641" s="2014"/>
      <c r="AD641" s="2015"/>
      <c r="AE641" s="2016"/>
      <c r="AF641" s="2257"/>
      <c r="AG641" s="2258"/>
      <c r="AH641" s="2258"/>
      <c r="AI641" s="2258"/>
      <c r="AJ641" s="2259"/>
      <c r="AK641" s="2358"/>
      <c r="AL641" s="2359"/>
      <c r="AM641" s="2359"/>
      <c r="AN641" s="2360"/>
      <c r="AO641" s="2039">
        <v>95207</v>
      </c>
      <c r="AP641" s="2039"/>
      <c r="AQ641" s="2039"/>
      <c r="AR641" s="2039"/>
      <c r="AS641" s="2039"/>
      <c r="AT641" s="238"/>
      <c r="AU641" s="238"/>
      <c r="AV641" s="238"/>
      <c r="AW641" s="238"/>
      <c r="AX641" s="238"/>
      <c r="AY641" s="238"/>
      <c r="AZ641" s="61"/>
      <c r="BA641" s="58" t="s">
        <v>307</v>
      </c>
      <c r="BB641" s="61"/>
      <c r="BC641" s="61"/>
      <c r="BD641" s="61"/>
      <c r="BE641" s="61"/>
      <c r="BF641" s="61"/>
      <c r="BG641" s="61"/>
      <c r="BH641" s="61"/>
      <c r="BI641" s="61"/>
      <c r="BJ641" s="61"/>
      <c r="BK641" s="61"/>
      <c r="BL641" s="61"/>
      <c r="BM641" s="61"/>
      <c r="BN641" s="2068">
        <f>IF(J773="SRO/Studio",O773,0)</f>
        <v>0</v>
      </c>
      <c r="BO641" s="2069"/>
      <c r="BP641" s="2069"/>
      <c r="BQ641" s="2069"/>
      <c r="BR641" s="2070"/>
      <c r="BS641" s="2062">
        <f>IF(J773="1 Bedroom",O773,0)</f>
        <v>0</v>
      </c>
      <c r="BT641" s="2062"/>
      <c r="BU641" s="2062"/>
      <c r="BV641" s="2062"/>
      <c r="BW641" s="2062"/>
      <c r="BX641" s="2062">
        <f>IF(J773="2 Bedrooms",O773,0)</f>
        <v>0</v>
      </c>
      <c r="BY641" s="2062"/>
      <c r="BZ641" s="2062"/>
      <c r="CA641" s="2062"/>
      <c r="CB641" s="2062"/>
      <c r="CC641" s="2062">
        <f>IF(J773="3 Bedrooms",O773,0)</f>
        <v>0</v>
      </c>
      <c r="CD641" s="2062"/>
      <c r="CE641" s="2062"/>
      <c r="CF641" s="2062"/>
      <c r="CG641" s="2062"/>
      <c r="CH641" s="2062">
        <f>IF(J773="4 Bedrooms",O773,0)</f>
        <v>0</v>
      </c>
      <c r="CI641" s="2062"/>
      <c r="CJ641" s="2062"/>
      <c r="CK641" s="2062"/>
      <c r="CL641" s="2062"/>
      <c r="CM641" s="2062">
        <f>IF(J773="5 Bedrooms",O773,0)</f>
        <v>0</v>
      </c>
      <c r="CN641" s="2062"/>
      <c r="CO641" s="2062"/>
      <c r="CP641" s="2062"/>
      <c r="CQ641" s="2062"/>
      <c r="CR641" s="264"/>
      <c r="CS641" s="58"/>
      <c r="CT641" s="58"/>
      <c r="CU641" s="58"/>
      <c r="CV641" s="58"/>
      <c r="CW641" s="58"/>
      <c r="CX641" s="58"/>
      <c r="CY641" s="58"/>
      <c r="CZ641" s="58"/>
      <c r="DA641" s="58"/>
      <c r="DB641" s="58"/>
      <c r="DC641" s="58"/>
      <c r="DD641" s="58"/>
      <c r="DE641" s="58"/>
      <c r="DF641" s="58"/>
      <c r="DX641" s="2556" t="e">
        <f t="shared" si="22"/>
        <v>#VALUE!</v>
      </c>
      <c r="DY641" s="2556"/>
      <c r="DZ641" s="2556"/>
      <c r="EA641" s="2556"/>
      <c r="EB641" s="2556"/>
      <c r="EC641" s="2556">
        <f t="shared" si="23"/>
        <v>132</v>
      </c>
      <c r="ED641" s="2556"/>
      <c r="EE641" s="2556"/>
      <c r="EF641" s="2556"/>
      <c r="EG641" s="2556"/>
      <c r="EH641" s="2556" t="e">
        <f t="shared" si="24"/>
        <v>#VALUE!</v>
      </c>
      <c r="EI641" s="2556"/>
      <c r="EJ641" s="2556"/>
      <c r="EK641" s="2556"/>
      <c r="EL641" s="2556"/>
      <c r="EM641" s="2556" t="e">
        <f t="shared" si="25"/>
        <v>#VALUE!</v>
      </c>
      <c r="EN641" s="2556"/>
      <c r="EO641" s="2556"/>
      <c r="EP641" s="2556"/>
      <c r="EQ641" s="2556"/>
      <c r="ER641" s="2556" t="e">
        <f t="shared" si="26"/>
        <v>#VALUE!</v>
      </c>
      <c r="ES641" s="2556"/>
      <c r="ET641" s="2556"/>
      <c r="EU641" s="2556"/>
      <c r="EV641" s="2556"/>
      <c r="EW641" s="2556" t="e">
        <f t="shared" si="27"/>
        <v>#VALUE!</v>
      </c>
      <c r="EX641" s="2556"/>
      <c r="EY641" s="2556"/>
      <c r="EZ641" s="2556"/>
      <c r="FA641" s="2556"/>
    </row>
    <row r="642" spans="1:157" ht="12.75">
      <c r="B642" s="84" t="s">
        <v>618</v>
      </c>
      <c r="C642" s="2045" t="s">
        <v>2621</v>
      </c>
      <c r="D642" s="2045"/>
      <c r="E642" s="2045"/>
      <c r="F642" s="2045"/>
      <c r="G642" s="2045"/>
      <c r="H642" s="2045"/>
      <c r="I642" s="2045"/>
      <c r="J642" s="2045"/>
      <c r="K642" s="2045"/>
      <c r="L642" s="2045"/>
      <c r="M642" s="2045"/>
      <c r="N642" s="2405"/>
      <c r="O642" s="2372"/>
      <c r="P642" s="2373"/>
      <c r="Q642" s="2374"/>
      <c r="R642" s="2165"/>
      <c r="S642" s="2166"/>
      <c r="T642" s="2167"/>
      <c r="U642" s="2011"/>
      <c r="V642" s="2012"/>
      <c r="W642" s="2013"/>
      <c r="X642" s="2283" t="s">
        <v>307</v>
      </c>
      <c r="Y642" s="2557"/>
      <c r="Z642" s="2557"/>
      <c r="AA642" s="2557"/>
      <c r="AB642" s="2558"/>
      <c r="AC642" s="2014"/>
      <c r="AD642" s="2015"/>
      <c r="AE642" s="2016"/>
      <c r="AF642" s="2257"/>
      <c r="AG642" s="2258"/>
      <c r="AH642" s="2258"/>
      <c r="AI642" s="2258"/>
      <c r="AJ642" s="2259"/>
      <c r="AK642" s="2358"/>
      <c r="AL642" s="2359"/>
      <c r="AM642" s="2359"/>
      <c r="AN642" s="2360"/>
      <c r="AO642" s="2039">
        <v>100</v>
      </c>
      <c r="AP642" s="2039"/>
      <c r="AQ642" s="2039"/>
      <c r="AR642" s="2039"/>
      <c r="AS642" s="2039"/>
      <c r="AT642" s="238"/>
      <c r="AU642" s="238"/>
      <c r="AV642" s="238"/>
      <c r="AW642" s="238"/>
      <c r="AX642" s="238"/>
      <c r="AY642" s="238"/>
      <c r="AZ642" s="61"/>
      <c r="BA642" s="61"/>
      <c r="BB642" s="61"/>
      <c r="BC642" s="61"/>
      <c r="BD642" s="61"/>
      <c r="BE642" s="61"/>
      <c r="BF642" s="61"/>
      <c r="BG642" s="61"/>
      <c r="BH642" s="61"/>
      <c r="BI642" s="61"/>
      <c r="BJ642" s="61"/>
      <c r="BK642" s="61"/>
      <c r="BL642" s="61"/>
      <c r="BM642" s="61"/>
      <c r="BN642" s="2068">
        <f>IF(J774="SRO/Studio",O774,0)</f>
        <v>0</v>
      </c>
      <c r="BO642" s="2069"/>
      <c r="BP642" s="2069"/>
      <c r="BQ642" s="2069"/>
      <c r="BR642" s="2070"/>
      <c r="BS642" s="2062">
        <f>IF(J774="1 Bedroom",O774,0)</f>
        <v>0</v>
      </c>
      <c r="BT642" s="2062"/>
      <c r="BU642" s="2062"/>
      <c r="BV642" s="2062"/>
      <c r="BW642" s="2062"/>
      <c r="BX642" s="2062">
        <f>IF(J774="2 Bedrooms",O774,0)</f>
        <v>0</v>
      </c>
      <c r="BY642" s="2062"/>
      <c r="BZ642" s="2062"/>
      <c r="CA642" s="2062"/>
      <c r="CB642" s="2062"/>
      <c r="CC642" s="2062">
        <f>IF(J774="3 Bedrooms",O774,0)</f>
        <v>0</v>
      </c>
      <c r="CD642" s="2062"/>
      <c r="CE642" s="2062"/>
      <c r="CF642" s="2062"/>
      <c r="CG642" s="2062"/>
      <c r="CH642" s="2062">
        <f>IF(J774="4 Bedrooms",O774,0)</f>
        <v>0</v>
      </c>
      <c r="CI642" s="2062"/>
      <c r="CJ642" s="2062"/>
      <c r="CK642" s="2062"/>
      <c r="CL642" s="2062"/>
      <c r="CM642" s="2062">
        <f>IF(J774="5 Bedrooms",O774,0)</f>
        <v>0</v>
      </c>
      <c r="CN642" s="2062"/>
      <c r="CO642" s="2062"/>
      <c r="CP642" s="2062"/>
      <c r="CQ642" s="2062"/>
      <c r="CR642" s="1804"/>
      <c r="CV642" s="58"/>
      <c r="CW642" s="58"/>
      <c r="CX642" s="58"/>
      <c r="CY642" s="58"/>
      <c r="CZ642" s="58"/>
      <c r="DA642" s="58"/>
      <c r="DB642" s="58"/>
      <c r="DC642" s="58"/>
      <c r="DD642" s="58"/>
      <c r="DE642" s="58"/>
      <c r="DF642" s="58"/>
      <c r="DX642" s="2556" t="e">
        <f t="shared" si="22"/>
        <v>#VALUE!</v>
      </c>
      <c r="DY642" s="2556"/>
      <c r="DZ642" s="2556"/>
      <c r="EA642" s="2556"/>
      <c r="EB642" s="2556"/>
      <c r="EC642" s="2556" t="e">
        <f t="shared" si="23"/>
        <v>#VALUE!</v>
      </c>
      <c r="ED642" s="2556"/>
      <c r="EE642" s="2556"/>
      <c r="EF642" s="2556"/>
      <c r="EG642" s="2556"/>
      <c r="EH642" s="2556">
        <f t="shared" si="24"/>
        <v>498.9473684210526</v>
      </c>
      <c r="EI642" s="2556"/>
      <c r="EJ642" s="2556"/>
      <c r="EK642" s="2556"/>
      <c r="EL642" s="2556"/>
      <c r="EM642" s="2556" t="e">
        <f t="shared" si="25"/>
        <v>#VALUE!</v>
      </c>
      <c r="EN642" s="2556"/>
      <c r="EO642" s="2556"/>
      <c r="EP642" s="2556"/>
      <c r="EQ642" s="2556"/>
      <c r="ER642" s="2556" t="e">
        <f t="shared" si="26"/>
        <v>#VALUE!</v>
      </c>
      <c r="ES642" s="2556"/>
      <c r="ET642" s="2556"/>
      <c r="EU642" s="2556"/>
      <c r="EV642" s="2556"/>
      <c r="EW642" s="2556" t="e">
        <f t="shared" si="27"/>
        <v>#VALUE!</v>
      </c>
      <c r="EX642" s="2556"/>
      <c r="EY642" s="2556"/>
      <c r="EZ642" s="2556"/>
      <c r="FA642" s="2556"/>
    </row>
    <row r="643" spans="1:157" ht="12.75">
      <c r="B643" s="84" t="s">
        <v>486</v>
      </c>
      <c r="C643" s="2177"/>
      <c r="D643" s="2045"/>
      <c r="E643" s="2045"/>
      <c r="F643" s="2045"/>
      <c r="G643" s="2045"/>
      <c r="H643" s="2045"/>
      <c r="I643" s="2045"/>
      <c r="J643" s="2045"/>
      <c r="K643" s="2045"/>
      <c r="L643" s="2045"/>
      <c r="M643" s="2045"/>
      <c r="N643" s="2405"/>
      <c r="O643" s="2372"/>
      <c r="P643" s="2373"/>
      <c r="Q643" s="2374"/>
      <c r="R643" s="2165"/>
      <c r="S643" s="2166"/>
      <c r="T643" s="2167"/>
      <c r="U643" s="2011"/>
      <c r="V643" s="2012"/>
      <c r="W643" s="2013"/>
      <c r="X643" s="2283"/>
      <c r="Y643" s="2557"/>
      <c r="Z643" s="2557"/>
      <c r="AA643" s="2557"/>
      <c r="AB643" s="2558"/>
      <c r="AC643" s="2014"/>
      <c r="AD643" s="2015"/>
      <c r="AE643" s="2016"/>
      <c r="AF643" s="2257"/>
      <c r="AG643" s="2258"/>
      <c r="AH643" s="2258"/>
      <c r="AI643" s="2258"/>
      <c r="AJ643" s="2259"/>
      <c r="AK643" s="2358"/>
      <c r="AL643" s="2359"/>
      <c r="AM643" s="2359"/>
      <c r="AN643" s="2360"/>
      <c r="AO643" s="2039"/>
      <c r="AP643" s="2039"/>
      <c r="AQ643" s="2039"/>
      <c r="AR643" s="2039"/>
      <c r="AS643" s="2039"/>
      <c r="AT643" s="238"/>
      <c r="AU643" s="238"/>
      <c r="AV643" s="238"/>
      <c r="AW643" s="238"/>
      <c r="AX643" s="238"/>
      <c r="AY643" s="238"/>
      <c r="AZ643" s="61"/>
      <c r="BA643" s="61"/>
      <c r="BB643" s="61"/>
      <c r="BC643" s="61"/>
      <c r="BD643" s="61"/>
      <c r="BE643" s="61"/>
      <c r="BF643" s="61"/>
      <c r="BG643" s="61"/>
      <c r="BH643" s="61"/>
      <c r="BI643" s="61"/>
      <c r="BJ643" s="61"/>
      <c r="BK643" s="61"/>
      <c r="BL643" s="61"/>
      <c r="BM643" s="61"/>
      <c r="BN643" s="2068">
        <f>IF(J775="SRO/Studio",O775,0)</f>
        <v>0</v>
      </c>
      <c r="BO643" s="2069"/>
      <c r="BP643" s="2069"/>
      <c r="BQ643" s="2069"/>
      <c r="BR643" s="2070"/>
      <c r="BS643" s="2062">
        <f>IF(J775="1 Bedroom",O775,0)</f>
        <v>0</v>
      </c>
      <c r="BT643" s="2062"/>
      <c r="BU643" s="2062"/>
      <c r="BV643" s="2062"/>
      <c r="BW643" s="2062"/>
      <c r="BX643" s="2062">
        <f>IF(J775="2 Bedrooms",O775,0)</f>
        <v>0</v>
      </c>
      <c r="BY643" s="2062"/>
      <c r="BZ643" s="2062"/>
      <c r="CA643" s="2062"/>
      <c r="CB643" s="2062"/>
      <c r="CC643" s="2062">
        <f>IF(J775="3 Bedrooms",O775,0)</f>
        <v>0</v>
      </c>
      <c r="CD643" s="2062"/>
      <c r="CE643" s="2062"/>
      <c r="CF643" s="2062"/>
      <c r="CG643" s="2062"/>
      <c r="CH643" s="2062">
        <f>IF(J775="4 Bedrooms",O775,0)</f>
        <v>0</v>
      </c>
      <c r="CI643" s="2062"/>
      <c r="CJ643" s="2062"/>
      <c r="CK643" s="2062"/>
      <c r="CL643" s="2062"/>
      <c r="CM643" s="2062">
        <f>IF(J775="5 Bedrooms",O775,0)</f>
        <v>0</v>
      </c>
      <c r="CN643" s="2062"/>
      <c r="CO643" s="2062"/>
      <c r="CP643" s="2062"/>
      <c r="CQ643" s="2062"/>
      <c r="CV643" s="58"/>
      <c r="CW643" s="58"/>
      <c r="CX643" s="58"/>
      <c r="CY643" s="58"/>
      <c r="CZ643" s="58"/>
      <c r="DA643" s="58"/>
      <c r="DB643" s="58"/>
      <c r="DC643" s="58"/>
      <c r="DD643" s="58"/>
      <c r="DE643" s="58"/>
      <c r="DF643" s="58"/>
      <c r="DX643" s="2556" t="e">
        <f t="shared" si="22"/>
        <v>#VALUE!</v>
      </c>
      <c r="DY643" s="2556"/>
      <c r="DZ643" s="2556"/>
      <c r="EA643" s="2556"/>
      <c r="EB643" s="2556"/>
      <c r="EC643" s="2556" t="e">
        <f t="shared" si="23"/>
        <v>#VALUE!</v>
      </c>
      <c r="ED643" s="2556"/>
      <c r="EE643" s="2556"/>
      <c r="EF643" s="2556"/>
      <c r="EG643" s="2556"/>
      <c r="EH643" s="2556" t="e">
        <f t="shared" si="24"/>
        <v>#VALUE!</v>
      </c>
      <c r="EI643" s="2556"/>
      <c r="EJ643" s="2556"/>
      <c r="EK643" s="2556"/>
      <c r="EL643" s="2556"/>
      <c r="EM643" s="2556">
        <f t="shared" si="25"/>
        <v>546.6</v>
      </c>
      <c r="EN643" s="2556"/>
      <c r="EO643" s="2556"/>
      <c r="EP643" s="2556"/>
      <c r="EQ643" s="2556"/>
      <c r="ER643" s="2556" t="e">
        <f t="shared" si="26"/>
        <v>#VALUE!</v>
      </c>
      <c r="ES643" s="2556"/>
      <c r="ET643" s="2556"/>
      <c r="EU643" s="2556"/>
      <c r="EV643" s="2556"/>
      <c r="EW643" s="2556" t="e">
        <f t="shared" si="27"/>
        <v>#VALUE!</v>
      </c>
      <c r="EX643" s="2556"/>
      <c r="EY643" s="2556"/>
      <c r="EZ643" s="2556"/>
      <c r="FA643" s="2556"/>
    </row>
    <row r="644" spans="1:157" ht="12.75">
      <c r="B644" s="84" t="s">
        <v>487</v>
      </c>
      <c r="C644" s="2045"/>
      <c r="D644" s="2045"/>
      <c r="E644" s="2045"/>
      <c r="F644" s="2045"/>
      <c r="G644" s="2045"/>
      <c r="H644" s="2045"/>
      <c r="I644" s="2045"/>
      <c r="J644" s="2045"/>
      <c r="K644" s="2045"/>
      <c r="L644" s="2045"/>
      <c r="M644" s="2045"/>
      <c r="N644" s="2405"/>
      <c r="O644" s="2372"/>
      <c r="P644" s="2373"/>
      <c r="Q644" s="2374"/>
      <c r="R644" s="2165"/>
      <c r="S644" s="2166"/>
      <c r="T644" s="2167"/>
      <c r="U644" s="2011"/>
      <c r="V644" s="2012"/>
      <c r="W644" s="2013"/>
      <c r="X644" s="2283" t="s">
        <v>1382</v>
      </c>
      <c r="Y644" s="2557"/>
      <c r="Z644" s="2557"/>
      <c r="AA644" s="2557"/>
      <c r="AB644" s="2558"/>
      <c r="AC644" s="2014"/>
      <c r="AD644" s="2015"/>
      <c r="AE644" s="2016"/>
      <c r="AF644" s="2257"/>
      <c r="AG644" s="2258"/>
      <c r="AH644" s="2258"/>
      <c r="AI644" s="2258"/>
      <c r="AJ644" s="2259"/>
      <c r="AK644" s="2358"/>
      <c r="AL644" s="2359"/>
      <c r="AM644" s="2359"/>
      <c r="AN644" s="2360"/>
      <c r="AO644" s="2039"/>
      <c r="AP644" s="2039"/>
      <c r="AQ644" s="2039"/>
      <c r="AR644" s="2039"/>
      <c r="AS644" s="2039"/>
      <c r="AT644" s="238"/>
      <c r="AU644" s="238"/>
      <c r="AV644" s="238"/>
      <c r="AW644" s="238"/>
      <c r="AX644" s="238"/>
      <c r="AY644" s="238"/>
      <c r="AZ644" s="61"/>
      <c r="BA644" s="61"/>
      <c r="BB644" s="61"/>
      <c r="BC644" s="61"/>
      <c r="BD644" s="61"/>
      <c r="BE644" s="61"/>
      <c r="BF644" s="61"/>
      <c r="BG644" s="61"/>
      <c r="BH644" s="61"/>
      <c r="BI644" s="61"/>
      <c r="BJ644" s="61"/>
      <c r="BK644" s="61"/>
      <c r="BL644" s="61"/>
      <c r="BM644" s="61"/>
      <c r="BN644" s="2071">
        <f>SUM(BN640:BR643)</f>
        <v>0</v>
      </c>
      <c r="BO644" s="2072"/>
      <c r="BP644" s="2072"/>
      <c r="BQ644" s="2072"/>
      <c r="BR644" s="2073"/>
      <c r="BS644" s="2065">
        <f>SUM(BS640:BW643)</f>
        <v>0</v>
      </c>
      <c r="BT644" s="2066"/>
      <c r="BU644" s="2066"/>
      <c r="BV644" s="2066"/>
      <c r="BW644" s="2067"/>
      <c r="BX644" s="2065">
        <f>SUM(BX640:CB643)</f>
        <v>1</v>
      </c>
      <c r="BY644" s="2066"/>
      <c r="BZ644" s="2066"/>
      <c r="CA644" s="2066"/>
      <c r="CB644" s="2067"/>
      <c r="CC644" s="2065">
        <f>SUM(CC640:CG643)</f>
        <v>0</v>
      </c>
      <c r="CD644" s="2066"/>
      <c r="CE644" s="2066"/>
      <c r="CF644" s="2066"/>
      <c r="CG644" s="2067"/>
      <c r="CH644" s="2065">
        <f>SUM(CH640:CL643)</f>
        <v>0</v>
      </c>
      <c r="CI644" s="2066"/>
      <c r="CJ644" s="2066"/>
      <c r="CK644" s="2066"/>
      <c r="CL644" s="2067"/>
      <c r="CM644" s="2065">
        <f>SUM(CM640:CQ643)</f>
        <v>0</v>
      </c>
      <c r="CN644" s="2066"/>
      <c r="CO644" s="2066"/>
      <c r="CP644" s="2066"/>
      <c r="CQ644" s="2067"/>
      <c r="CS644" s="1469">
        <f>BN644+BS644+BX644+CC644+CH644+CM644</f>
        <v>1</v>
      </c>
      <c r="CT644" s="134" t="s">
        <v>2385</v>
      </c>
      <c r="CU644" s="58"/>
      <c r="CV644" s="58"/>
      <c r="CW644" s="58"/>
      <c r="CX644" s="58"/>
      <c r="CY644" s="58"/>
      <c r="CZ644" s="58"/>
      <c r="DA644" s="58"/>
      <c r="DB644" s="58"/>
      <c r="DC644" s="58"/>
      <c r="DD644" s="58"/>
      <c r="DE644" s="58"/>
      <c r="DF644" s="58"/>
      <c r="DX644" s="2556" t="e">
        <f t="shared" si="22"/>
        <v>#VALUE!</v>
      </c>
      <c r="DY644" s="2556"/>
      <c r="DZ644" s="2556"/>
      <c r="EA644" s="2556"/>
      <c r="EB644" s="2556"/>
      <c r="EC644" s="2556">
        <f t="shared" si="23"/>
        <v>107.73333333333333</v>
      </c>
      <c r="ED644" s="2556"/>
      <c r="EE644" s="2556"/>
      <c r="EF644" s="2556"/>
      <c r="EG644" s="2556"/>
      <c r="EH644" s="2556" t="e">
        <f t="shared" si="24"/>
        <v>#VALUE!</v>
      </c>
      <c r="EI644" s="2556"/>
      <c r="EJ644" s="2556"/>
      <c r="EK644" s="2556"/>
      <c r="EL644" s="2556"/>
      <c r="EM644" s="2556" t="e">
        <f t="shared" si="25"/>
        <v>#VALUE!</v>
      </c>
      <c r="EN644" s="2556"/>
      <c r="EO644" s="2556"/>
      <c r="EP644" s="2556"/>
      <c r="EQ644" s="2556"/>
      <c r="ER644" s="2556" t="e">
        <f t="shared" si="26"/>
        <v>#VALUE!</v>
      </c>
      <c r="ES644" s="2556"/>
      <c r="ET644" s="2556"/>
      <c r="EU644" s="2556"/>
      <c r="EV644" s="2556"/>
      <c r="EW644" s="2556" t="e">
        <f t="shared" si="27"/>
        <v>#VALUE!</v>
      </c>
      <c r="EX644" s="2556"/>
      <c r="EY644" s="2556"/>
      <c r="EZ644" s="2556"/>
      <c r="FA644" s="2556"/>
    </row>
    <row r="645" spans="1:157" ht="12.75">
      <c r="B645" s="84" t="s">
        <v>493</v>
      </c>
      <c r="C645" s="2045"/>
      <c r="D645" s="2045"/>
      <c r="E645" s="2045"/>
      <c r="F645" s="2045"/>
      <c r="G645" s="2045"/>
      <c r="H645" s="2045"/>
      <c r="I645" s="2045"/>
      <c r="J645" s="2045"/>
      <c r="K645" s="2045"/>
      <c r="L645" s="2045"/>
      <c r="M645" s="2045"/>
      <c r="N645" s="2405"/>
      <c r="O645" s="2372"/>
      <c r="P645" s="2373"/>
      <c r="Q645" s="2374"/>
      <c r="R645" s="2165"/>
      <c r="S645" s="2166"/>
      <c r="T645" s="2167"/>
      <c r="U645" s="2011"/>
      <c r="V645" s="2012"/>
      <c r="W645" s="2013"/>
      <c r="X645" s="2283" t="s">
        <v>1382</v>
      </c>
      <c r="Y645" s="2557"/>
      <c r="Z645" s="2557"/>
      <c r="AA645" s="2557"/>
      <c r="AB645" s="2558"/>
      <c r="AC645" s="2014"/>
      <c r="AD645" s="2015"/>
      <c r="AE645" s="2016"/>
      <c r="AF645" s="2257"/>
      <c r="AG645" s="2258"/>
      <c r="AH645" s="2258"/>
      <c r="AI645" s="2258"/>
      <c r="AJ645" s="2259"/>
      <c r="AK645" s="2358"/>
      <c r="AL645" s="2359"/>
      <c r="AM645" s="2359"/>
      <c r="AN645" s="2360"/>
      <c r="AO645" s="2039"/>
      <c r="AP645" s="2039"/>
      <c r="AQ645" s="2039"/>
      <c r="AR645" s="2039"/>
      <c r="AS645" s="2039"/>
      <c r="AT645" s="238"/>
      <c r="AU645" s="238"/>
      <c r="AV645" s="238"/>
      <c r="AW645" s="238"/>
      <c r="AX645" s="238"/>
      <c r="AY645" s="238"/>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2387</v>
      </c>
      <c r="CU645" s="58"/>
      <c r="CV645" s="58"/>
      <c r="CW645" s="58"/>
      <c r="CX645" s="58"/>
      <c r="CY645" s="58"/>
      <c r="CZ645" s="58"/>
      <c r="DA645" s="58"/>
      <c r="DB645" s="58"/>
      <c r="DC645" s="58"/>
      <c r="DD645" s="58"/>
      <c r="DE645" s="58"/>
      <c r="DF645" s="58"/>
      <c r="DX645" s="2556" t="e">
        <f t="shared" si="22"/>
        <v>#VALUE!</v>
      </c>
      <c r="DY645" s="2556"/>
      <c r="DZ645" s="2556"/>
      <c r="EA645" s="2556"/>
      <c r="EB645" s="2556"/>
      <c r="EC645" s="2556" t="e">
        <f t="shared" si="23"/>
        <v>#VALUE!</v>
      </c>
      <c r="ED645" s="2556"/>
      <c r="EE645" s="2556"/>
      <c r="EF645" s="2556"/>
      <c r="EG645" s="2556"/>
      <c r="EH645" s="2556">
        <f t="shared" si="24"/>
        <v>101.89473684210526</v>
      </c>
      <c r="EI645" s="2556"/>
      <c r="EJ645" s="2556"/>
      <c r="EK645" s="2556"/>
      <c r="EL645" s="2556"/>
      <c r="EM645" s="2556" t="e">
        <f t="shared" si="25"/>
        <v>#VALUE!</v>
      </c>
      <c r="EN645" s="2556"/>
      <c r="EO645" s="2556"/>
      <c r="EP645" s="2556"/>
      <c r="EQ645" s="2556"/>
      <c r="ER645" s="2556" t="e">
        <f t="shared" si="26"/>
        <v>#VALUE!</v>
      </c>
      <c r="ES645" s="2556"/>
      <c r="ET645" s="2556"/>
      <c r="EU645" s="2556"/>
      <c r="EV645" s="2556"/>
      <c r="EW645" s="2556" t="e">
        <f t="shared" si="27"/>
        <v>#VALUE!</v>
      </c>
      <c r="EX645" s="2556"/>
      <c r="EY645" s="2556"/>
      <c r="EZ645" s="2556"/>
      <c r="FA645" s="2556"/>
    </row>
    <row r="646" spans="1:157" ht="12.75">
      <c r="B646" s="84" t="s">
        <v>680</v>
      </c>
      <c r="C646" s="2045"/>
      <c r="D646" s="2045"/>
      <c r="E646" s="2045"/>
      <c r="F646" s="2045"/>
      <c r="G646" s="2045"/>
      <c r="H646" s="2045"/>
      <c r="I646" s="2045"/>
      <c r="J646" s="2045"/>
      <c r="K646" s="2045"/>
      <c r="L646" s="2045"/>
      <c r="M646" s="2045"/>
      <c r="N646" s="2405"/>
      <c r="O646" s="2372"/>
      <c r="P646" s="2373"/>
      <c r="Q646" s="2374"/>
      <c r="R646" s="2165"/>
      <c r="S646" s="2166"/>
      <c r="T646" s="2167"/>
      <c r="U646" s="2011"/>
      <c r="V646" s="2012"/>
      <c r="W646" s="2013"/>
      <c r="X646" s="2283" t="s">
        <v>1382</v>
      </c>
      <c r="Y646" s="2557"/>
      <c r="Z646" s="2557"/>
      <c r="AA646" s="2557"/>
      <c r="AB646" s="2558"/>
      <c r="AC646" s="2014"/>
      <c r="AD646" s="2015"/>
      <c r="AE646" s="2016"/>
      <c r="AF646" s="2257"/>
      <c r="AG646" s="2258"/>
      <c r="AH646" s="2258"/>
      <c r="AI646" s="2258"/>
      <c r="AJ646" s="2259"/>
      <c r="AK646" s="2358"/>
      <c r="AL646" s="2359"/>
      <c r="AM646" s="2359"/>
      <c r="AN646" s="2360"/>
      <c r="AO646" s="2039"/>
      <c r="AP646" s="2039"/>
      <c r="AQ646" s="2039"/>
      <c r="AR646" s="2039"/>
      <c r="AS646" s="2039"/>
      <c r="AT646" s="238"/>
      <c r="AU646" s="238"/>
      <c r="AV646" s="238"/>
      <c r="AW646" s="238"/>
      <c r="AX646" s="238"/>
      <c r="AY646" s="238"/>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6" t="e">
        <f t="shared" si="22"/>
        <v>#VALUE!</v>
      </c>
      <c r="DY646" s="2556"/>
      <c r="DZ646" s="2556"/>
      <c r="EA646" s="2556"/>
      <c r="EB646" s="2556"/>
      <c r="EC646" s="2556" t="e">
        <f t="shared" si="23"/>
        <v>#VALUE!</v>
      </c>
      <c r="ED646" s="2556"/>
      <c r="EE646" s="2556"/>
      <c r="EF646" s="2556"/>
      <c r="EG646" s="2556"/>
      <c r="EH646" s="2556" t="e">
        <f t="shared" si="24"/>
        <v>#VALUE!</v>
      </c>
      <c r="EI646" s="2556"/>
      <c r="EJ646" s="2556"/>
      <c r="EK646" s="2556"/>
      <c r="EL646" s="2556"/>
      <c r="EM646" s="2556">
        <f t="shared" si="25"/>
        <v>335.09999999999997</v>
      </c>
      <c r="EN646" s="2556"/>
      <c r="EO646" s="2556"/>
      <c r="EP646" s="2556"/>
      <c r="EQ646" s="2556"/>
      <c r="ER646" s="2556" t="e">
        <f t="shared" si="26"/>
        <v>#VALUE!</v>
      </c>
      <c r="ES646" s="2556"/>
      <c r="ET646" s="2556"/>
      <c r="EU646" s="2556"/>
      <c r="EV646" s="2556"/>
      <c r="EW646" s="2556" t="e">
        <f t="shared" si="27"/>
        <v>#VALUE!</v>
      </c>
      <c r="EX646" s="2556"/>
      <c r="EY646" s="2556"/>
      <c r="EZ646" s="2556"/>
      <c r="FA646" s="2556"/>
    </row>
    <row r="647" spans="1:157" ht="12.75">
      <c r="B647" s="84" t="s">
        <v>371</v>
      </c>
      <c r="C647" s="2045"/>
      <c r="D647" s="2045"/>
      <c r="E647" s="2045"/>
      <c r="F647" s="2045"/>
      <c r="G647" s="2045"/>
      <c r="H647" s="2045"/>
      <c r="I647" s="2045"/>
      <c r="J647" s="2045"/>
      <c r="K647" s="2045"/>
      <c r="L647" s="2045"/>
      <c r="M647" s="2045"/>
      <c r="N647" s="2405"/>
      <c r="O647" s="2372"/>
      <c r="P647" s="2373"/>
      <c r="Q647" s="2374"/>
      <c r="R647" s="2165"/>
      <c r="S647" s="2166"/>
      <c r="T647" s="2167"/>
      <c r="U647" s="2011"/>
      <c r="V647" s="2012"/>
      <c r="W647" s="2013"/>
      <c r="X647" s="2283" t="s">
        <v>1382</v>
      </c>
      <c r="Y647" s="2557"/>
      <c r="Z647" s="2557"/>
      <c r="AA647" s="2557"/>
      <c r="AB647" s="2558"/>
      <c r="AC647" s="2014"/>
      <c r="AD647" s="2015"/>
      <c r="AE647" s="2016"/>
      <c r="AF647" s="2257"/>
      <c r="AG647" s="2258"/>
      <c r="AH647" s="2258"/>
      <c r="AI647" s="2258"/>
      <c r="AJ647" s="2259"/>
      <c r="AK647" s="2358"/>
      <c r="AL647" s="2359"/>
      <c r="AM647" s="2359"/>
      <c r="AN647" s="2360"/>
      <c r="AO647" s="2039"/>
      <c r="AP647" s="2039"/>
      <c r="AQ647" s="2039"/>
      <c r="AR647" s="2039"/>
      <c r="AS647" s="2039"/>
      <c r="AT647" s="238"/>
      <c r="AU647" s="238"/>
      <c r="AV647" s="238"/>
      <c r="AW647" s="238"/>
      <c r="AX647" s="238"/>
      <c r="AY647" s="238"/>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6" t="e">
        <f t="shared" si="22"/>
        <v>#VALUE!</v>
      </c>
      <c r="DY647" s="2556"/>
      <c r="DZ647" s="2556"/>
      <c r="EA647" s="2556"/>
      <c r="EB647" s="2556"/>
      <c r="EC647" s="2556">
        <f t="shared" si="23"/>
        <v>220</v>
      </c>
      <c r="ED647" s="2556"/>
      <c r="EE647" s="2556"/>
      <c r="EF647" s="2556"/>
      <c r="EG647" s="2556"/>
      <c r="EH647" s="2556" t="e">
        <f t="shared" si="24"/>
        <v>#VALUE!</v>
      </c>
      <c r="EI647" s="2556"/>
      <c r="EJ647" s="2556"/>
      <c r="EK647" s="2556"/>
      <c r="EL647" s="2556"/>
      <c r="EM647" s="2556" t="e">
        <f t="shared" si="25"/>
        <v>#VALUE!</v>
      </c>
      <c r="EN647" s="2556"/>
      <c r="EO647" s="2556"/>
      <c r="EP647" s="2556"/>
      <c r="EQ647" s="2556"/>
      <c r="ER647" s="2556" t="e">
        <f t="shared" si="26"/>
        <v>#VALUE!</v>
      </c>
      <c r="ES647" s="2556"/>
      <c r="ET647" s="2556"/>
      <c r="EU647" s="2556"/>
      <c r="EV647" s="2556"/>
      <c r="EW647" s="2556" t="e">
        <f t="shared" si="27"/>
        <v>#VALUE!</v>
      </c>
      <c r="EX647" s="2556"/>
      <c r="EY647" s="2556"/>
      <c r="EZ647" s="2556"/>
      <c r="FA647" s="2556"/>
    </row>
    <row r="648" spans="1:157" ht="12.75">
      <c r="B648" s="84" t="s">
        <v>372</v>
      </c>
      <c r="C648" s="2045"/>
      <c r="D648" s="2045"/>
      <c r="E648" s="2045"/>
      <c r="F648" s="2045"/>
      <c r="G648" s="2045"/>
      <c r="H648" s="2045"/>
      <c r="I648" s="2045"/>
      <c r="J648" s="2045"/>
      <c r="K648" s="2045"/>
      <c r="L648" s="2045"/>
      <c r="M648" s="2045"/>
      <c r="N648" s="2405"/>
      <c r="O648" s="2372"/>
      <c r="P648" s="2373"/>
      <c r="Q648" s="2374"/>
      <c r="R648" s="2165"/>
      <c r="S648" s="2166"/>
      <c r="T648" s="2167"/>
      <c r="U648" s="2011"/>
      <c r="V648" s="2012"/>
      <c r="W648" s="2013"/>
      <c r="X648" s="2283" t="s">
        <v>1382</v>
      </c>
      <c r="Y648" s="2557"/>
      <c r="Z648" s="2557"/>
      <c r="AA648" s="2557"/>
      <c r="AB648" s="2558"/>
      <c r="AC648" s="2014"/>
      <c r="AD648" s="2015"/>
      <c r="AE648" s="2016"/>
      <c r="AF648" s="2257"/>
      <c r="AG648" s="2258"/>
      <c r="AH648" s="2258"/>
      <c r="AI648" s="2258"/>
      <c r="AJ648" s="2259"/>
      <c r="AK648" s="2358"/>
      <c r="AL648" s="2359"/>
      <c r="AM648" s="2359"/>
      <c r="AN648" s="2360"/>
      <c r="AO648" s="2039"/>
      <c r="AP648" s="2039"/>
      <c r="AQ648" s="2039"/>
      <c r="AR648" s="2039"/>
      <c r="AS648" s="2039"/>
      <c r="AT648" s="238"/>
      <c r="AU648" s="238"/>
      <c r="AV648" s="238"/>
      <c r="AW648" s="238"/>
      <c r="AX648" s="238"/>
      <c r="AY648" s="238"/>
      <c r="AZ648" s="58"/>
      <c r="BA648" s="58"/>
      <c r="BB648" s="58"/>
      <c r="BC648" s="58"/>
      <c r="BD648" s="58"/>
      <c r="BE648" s="58"/>
      <c r="BF648" s="58"/>
      <c r="BG648" s="58"/>
      <c r="BH648" s="58"/>
      <c r="BI648" s="58"/>
      <c r="BJ648" s="58"/>
      <c r="BK648" s="58"/>
      <c r="BL648" s="58"/>
      <c r="BM648" s="58"/>
      <c r="BN648" s="2068">
        <f t="shared" ref="BN648:BN657" si="28">IF(J786="SRO/Studio",O786,0)</f>
        <v>0</v>
      </c>
      <c r="BO648" s="2069"/>
      <c r="BP648" s="2069"/>
      <c r="BQ648" s="2069"/>
      <c r="BR648" s="2070"/>
      <c r="BS648" s="2062">
        <f t="shared" ref="BS648:BS657" si="29">IF(J786="1 Bedroom",O786,0)</f>
        <v>0</v>
      </c>
      <c r="BT648" s="2062"/>
      <c r="BU648" s="2062"/>
      <c r="BV648" s="2062"/>
      <c r="BW648" s="2062"/>
      <c r="BX648" s="2062">
        <f t="shared" ref="BX648:BX657" si="30">IF(J786="2 Bedrooms",O786,0)</f>
        <v>0</v>
      </c>
      <c r="BY648" s="2062"/>
      <c r="BZ648" s="2062"/>
      <c r="CA648" s="2062"/>
      <c r="CB648" s="2062"/>
      <c r="CC648" s="2062">
        <f t="shared" ref="CC648:CC657" si="31">IF(J786="3 Bedrooms",O786,0)</f>
        <v>0</v>
      </c>
      <c r="CD648" s="2062"/>
      <c r="CE648" s="2062"/>
      <c r="CF648" s="2062"/>
      <c r="CG648" s="2062"/>
      <c r="CH648" s="2062">
        <f t="shared" ref="CH648:CH657" si="32">IF(J786="4 Bedrooms",O786,0)</f>
        <v>0</v>
      </c>
      <c r="CI648" s="2062"/>
      <c r="CJ648" s="2062"/>
      <c r="CK648" s="2062"/>
      <c r="CL648" s="2062"/>
      <c r="CM648" s="2062">
        <f t="shared" ref="CM648:CM657" si="33">IF(J786="5 Bedrooms",O786,0)</f>
        <v>0</v>
      </c>
      <c r="CN648" s="2062"/>
      <c r="CO648" s="2062"/>
      <c r="CP648" s="2062"/>
      <c r="CQ648" s="2062"/>
      <c r="CR648" s="264"/>
      <c r="CS648" s="2068">
        <f>IF(AND(BN648&gt;=1,AH786&gt;=0.1,AH786&lt;=1),O786,0)</f>
        <v>0</v>
      </c>
      <c r="CT648" s="2069"/>
      <c r="CU648" s="2069"/>
      <c r="CV648" s="2069"/>
      <c r="CW648" s="2070"/>
      <c r="CX648" s="2068">
        <f>IF(AND(BS648&gt;=1,AH786&gt;=0.1,AH786&lt;=1),O786,0)</f>
        <v>0</v>
      </c>
      <c r="CY648" s="2069"/>
      <c r="CZ648" s="2069"/>
      <c r="DA648" s="2069"/>
      <c r="DB648" s="2070"/>
      <c r="DC648" s="2068">
        <f>IF(AND(BX648&gt;=1,AH786&gt;=0.1,AH786&lt;=1),O786,0)</f>
        <v>0</v>
      </c>
      <c r="DD648" s="2069"/>
      <c r="DE648" s="2069"/>
      <c r="DF648" s="2069"/>
      <c r="DG648" s="2070"/>
      <c r="DH648" s="2068">
        <f>IF(AND(CC648&gt;=1,AH786&gt;=0.1,AH786&lt;=1),O786,0)</f>
        <v>0</v>
      </c>
      <c r="DI648" s="2069"/>
      <c r="DJ648" s="2069"/>
      <c r="DK648" s="2069"/>
      <c r="DL648" s="2070"/>
      <c r="DM648" s="2068">
        <f>IF(AND(CH648&gt;=1,AH786&gt;=0.1,AH786&lt;=1),O786,0)</f>
        <v>0</v>
      </c>
      <c r="DN648" s="2069"/>
      <c r="DO648" s="2069"/>
      <c r="DP648" s="2069"/>
      <c r="DQ648" s="2070"/>
      <c r="DR648" s="2068">
        <f>IF(AND(CM648&gt;=1,AH786&gt;=0.1,AH786&lt;=1),O786,0)</f>
        <v>0</v>
      </c>
      <c r="DS648" s="2069"/>
      <c r="DT648" s="2069"/>
      <c r="DU648" s="2069"/>
      <c r="DV648" s="2070"/>
      <c r="DX648" s="2556" t="e">
        <f t="shared" si="22"/>
        <v>#VALUE!</v>
      </c>
      <c r="DY648" s="2556"/>
      <c r="DZ648" s="2556"/>
      <c r="EA648" s="2556"/>
      <c r="EB648" s="2556"/>
      <c r="EC648" s="2556" t="e">
        <f t="shared" si="23"/>
        <v>#VALUE!</v>
      </c>
      <c r="ED648" s="2556"/>
      <c r="EE648" s="2556"/>
      <c r="EF648" s="2556"/>
      <c r="EG648" s="2556"/>
      <c r="EH648" s="2556" t="e">
        <f t="shared" si="24"/>
        <v>#VALUE!</v>
      </c>
      <c r="EI648" s="2556"/>
      <c r="EJ648" s="2556"/>
      <c r="EK648" s="2556"/>
      <c r="EL648" s="2556"/>
      <c r="EM648" s="2556" t="e">
        <f t="shared" si="25"/>
        <v>#VALUE!</v>
      </c>
      <c r="EN648" s="2556"/>
      <c r="EO648" s="2556"/>
      <c r="EP648" s="2556"/>
      <c r="EQ648" s="2556"/>
      <c r="ER648" s="2556" t="e">
        <f t="shared" si="26"/>
        <v>#VALUE!</v>
      </c>
      <c r="ES648" s="2556"/>
      <c r="ET648" s="2556"/>
      <c r="EU648" s="2556"/>
      <c r="EV648" s="2556"/>
      <c r="EW648" s="2556" t="e">
        <f t="shared" si="27"/>
        <v>#VALUE!</v>
      </c>
      <c r="EX648" s="2556"/>
      <c r="EY648" s="2556"/>
      <c r="EZ648" s="2556"/>
      <c r="FA648" s="2556"/>
    </row>
    <row r="649" spans="1:157" ht="12.75">
      <c r="B649" s="2188" t="s">
        <v>133</v>
      </c>
      <c r="C649" s="2189"/>
      <c r="D649" s="2189"/>
      <c r="E649" s="2189"/>
      <c r="F649" s="2189"/>
      <c r="G649" s="2189"/>
      <c r="H649" s="2189"/>
      <c r="I649" s="2189"/>
      <c r="J649" s="2189"/>
      <c r="K649" s="2189"/>
      <c r="L649" s="2189"/>
      <c r="M649" s="2189"/>
      <c r="N649" s="2189"/>
      <c r="O649" s="2189"/>
      <c r="P649" s="2189"/>
      <c r="Q649" s="2189"/>
      <c r="R649" s="2189"/>
      <c r="S649" s="2189"/>
      <c r="T649" s="2189"/>
      <c r="U649" s="2189"/>
      <c r="V649" s="2189"/>
      <c r="W649" s="2189"/>
      <c r="X649" s="2189"/>
      <c r="Y649" s="2189"/>
      <c r="Z649" s="2189"/>
      <c r="AA649" s="2189"/>
      <c r="AB649" s="2189"/>
      <c r="AC649" s="2189"/>
      <c r="AD649" s="2189"/>
      <c r="AE649" s="2189"/>
      <c r="AF649" s="2189"/>
      <c r="AG649" s="2189"/>
      <c r="AH649" s="2189"/>
      <c r="AI649" s="2189"/>
      <c r="AJ649" s="2189"/>
      <c r="AK649" s="2189"/>
      <c r="AL649" s="2189"/>
      <c r="AM649" s="2189"/>
      <c r="AN649" s="2191"/>
      <c r="AO649" s="2148">
        <f>SUM(AO637:AR648)</f>
        <v>23468261</v>
      </c>
      <c r="AP649" s="2149"/>
      <c r="AQ649" s="2149"/>
      <c r="AR649" s="2149"/>
      <c r="AS649" s="2150"/>
      <c r="AZ649" s="58"/>
      <c r="BA649" s="58"/>
      <c r="BB649" s="58"/>
      <c r="BC649" s="58"/>
      <c r="BD649" s="58"/>
      <c r="BE649" s="58"/>
      <c r="BF649" s="58"/>
      <c r="BG649" s="58"/>
      <c r="BH649" s="58"/>
      <c r="BI649" s="58"/>
      <c r="BJ649" s="58"/>
      <c r="BK649" s="58"/>
      <c r="BL649" s="58"/>
      <c r="BM649" s="58"/>
      <c r="BN649" s="2068">
        <f t="shared" si="28"/>
        <v>0</v>
      </c>
      <c r="BO649" s="2069"/>
      <c r="BP649" s="2069"/>
      <c r="BQ649" s="2069"/>
      <c r="BR649" s="2070"/>
      <c r="BS649" s="2062">
        <f t="shared" si="29"/>
        <v>0</v>
      </c>
      <c r="BT649" s="2062"/>
      <c r="BU649" s="2062"/>
      <c r="BV649" s="2062"/>
      <c r="BW649" s="2062"/>
      <c r="BX649" s="2062">
        <f t="shared" si="30"/>
        <v>0</v>
      </c>
      <c r="BY649" s="2062"/>
      <c r="BZ649" s="2062"/>
      <c r="CA649" s="2062"/>
      <c r="CB649" s="2062"/>
      <c r="CC649" s="2062">
        <f t="shared" si="31"/>
        <v>0</v>
      </c>
      <c r="CD649" s="2062"/>
      <c r="CE649" s="2062"/>
      <c r="CF649" s="2062"/>
      <c r="CG649" s="2062"/>
      <c r="CH649" s="2062">
        <f t="shared" si="32"/>
        <v>0</v>
      </c>
      <c r="CI649" s="2062"/>
      <c r="CJ649" s="2062"/>
      <c r="CK649" s="2062"/>
      <c r="CL649" s="2062"/>
      <c r="CM649" s="2062">
        <f t="shared" si="33"/>
        <v>0</v>
      </c>
      <c r="CN649" s="2062"/>
      <c r="CO649" s="2062"/>
      <c r="CP649" s="2062"/>
      <c r="CQ649" s="2062"/>
      <c r="CR649" s="264"/>
      <c r="CS649" s="2068">
        <f t="shared" ref="CS649:CS657" si="34">IF(AND(BN649&gt;=1,AH787&gt;=0.1,AH787&lt;=1),O787,0)</f>
        <v>0</v>
      </c>
      <c r="CT649" s="2069"/>
      <c r="CU649" s="2069"/>
      <c r="CV649" s="2069"/>
      <c r="CW649" s="2070"/>
      <c r="CX649" s="2068">
        <f t="shared" ref="CX649:CX657" si="35">IF(AND(BS649&gt;=1,AH787&gt;=0.1,AH787&lt;=1),O787,0)</f>
        <v>0</v>
      </c>
      <c r="CY649" s="2069"/>
      <c r="CZ649" s="2069"/>
      <c r="DA649" s="2069"/>
      <c r="DB649" s="2070"/>
      <c r="DC649" s="2068">
        <f t="shared" ref="DC649:DC657" si="36">IF(AND(BX649&gt;=1,AH787&gt;=0.1,AH787&lt;=1),O787,0)</f>
        <v>0</v>
      </c>
      <c r="DD649" s="2069"/>
      <c r="DE649" s="2069"/>
      <c r="DF649" s="2069"/>
      <c r="DG649" s="2070"/>
      <c r="DH649" s="2068">
        <f t="shared" ref="DH649:DH657" si="37">IF(AND(CC649&gt;=1,AH787&gt;=0.1,AH787&lt;=1),O787,0)</f>
        <v>0</v>
      </c>
      <c r="DI649" s="2069"/>
      <c r="DJ649" s="2069"/>
      <c r="DK649" s="2069"/>
      <c r="DL649" s="2070"/>
      <c r="DM649" s="2068">
        <f t="shared" ref="DM649:DM657" si="38">IF(AND(CH649&gt;=1,AH787&gt;=0.1,AH787&lt;=1),O787,0)</f>
        <v>0</v>
      </c>
      <c r="DN649" s="2069"/>
      <c r="DO649" s="2069"/>
      <c r="DP649" s="2069"/>
      <c r="DQ649" s="2070"/>
      <c r="DR649" s="2068">
        <f t="shared" ref="DR649:DR657" si="39">IF(AND(CM649&gt;=1,AH787&gt;=0.1,AH787&lt;=1),O787,0)</f>
        <v>0</v>
      </c>
      <c r="DS649" s="2069"/>
      <c r="DT649" s="2069"/>
      <c r="DU649" s="2069"/>
      <c r="DV649" s="2070"/>
      <c r="DX649" s="2556" t="e">
        <f t="shared" si="22"/>
        <v>#VALUE!</v>
      </c>
      <c r="DY649" s="2556"/>
      <c r="DZ649" s="2556"/>
      <c r="EA649" s="2556"/>
      <c r="EB649" s="2556"/>
      <c r="EC649" s="2556" t="e">
        <f t="shared" si="23"/>
        <v>#VALUE!</v>
      </c>
      <c r="ED649" s="2556"/>
      <c r="EE649" s="2556"/>
      <c r="EF649" s="2556"/>
      <c r="EG649" s="2556"/>
      <c r="EH649" s="2556" t="e">
        <f t="shared" si="24"/>
        <v>#VALUE!</v>
      </c>
      <c r="EI649" s="2556"/>
      <c r="EJ649" s="2556"/>
      <c r="EK649" s="2556"/>
      <c r="EL649" s="2556"/>
      <c r="EM649" s="2556" t="e">
        <f t="shared" si="25"/>
        <v>#VALUE!</v>
      </c>
      <c r="EN649" s="2556"/>
      <c r="EO649" s="2556"/>
      <c r="EP649" s="2556"/>
      <c r="EQ649" s="2556"/>
      <c r="ER649" s="2556" t="e">
        <f t="shared" si="26"/>
        <v>#VALUE!</v>
      </c>
      <c r="ES649" s="2556"/>
      <c r="ET649" s="2556"/>
      <c r="EU649" s="2556"/>
      <c r="EV649" s="2556"/>
      <c r="EW649" s="2556" t="e">
        <f t="shared" si="27"/>
        <v>#VALUE!</v>
      </c>
      <c r="EX649" s="2556"/>
      <c r="EY649" s="2556"/>
      <c r="EZ649" s="2556"/>
      <c r="FA649" s="2556"/>
    </row>
    <row r="650" spans="1:157" ht="12.75" customHeight="1">
      <c r="B650" s="2188" t="s">
        <v>272</v>
      </c>
      <c r="C650" s="2189"/>
      <c r="D650" s="2189"/>
      <c r="E650" s="2189"/>
      <c r="F650" s="2189"/>
      <c r="G650" s="2189"/>
      <c r="H650" s="2189"/>
      <c r="I650" s="2189"/>
      <c r="J650" s="2189"/>
      <c r="K650" s="2189"/>
      <c r="L650" s="2189"/>
      <c r="M650" s="2189"/>
      <c r="N650" s="2189"/>
      <c r="O650" s="2189"/>
      <c r="P650" s="2189"/>
      <c r="Q650" s="2189"/>
      <c r="R650" s="2189"/>
      <c r="S650" s="2189"/>
      <c r="T650" s="2189"/>
      <c r="U650" s="2189"/>
      <c r="V650" s="2189"/>
      <c r="W650" s="2189"/>
      <c r="X650" s="2189"/>
      <c r="Y650" s="2189"/>
      <c r="Z650" s="2189"/>
      <c r="AA650" s="2189"/>
      <c r="AB650" s="2189"/>
      <c r="AC650" s="2189"/>
      <c r="AD650" s="2189"/>
      <c r="AE650" s="2189"/>
      <c r="AF650" s="2189"/>
      <c r="AG650" s="2189"/>
      <c r="AH650" s="2189"/>
      <c r="AI650" s="2189"/>
      <c r="AJ650" s="2189"/>
      <c r="AK650" s="2189"/>
      <c r="AL650" s="2189"/>
      <c r="AM650" s="2189"/>
      <c r="AN650" s="2191"/>
      <c r="AO650" s="2023">
        <v>15420986</v>
      </c>
      <c r="AP650" s="2024"/>
      <c r="AQ650" s="2024"/>
      <c r="AR650" s="2024"/>
      <c r="AS650" s="2025"/>
      <c r="AZ650" s="61"/>
      <c r="BA650" s="61"/>
      <c r="BB650" s="61"/>
      <c r="BC650" s="61"/>
      <c r="BD650" s="61"/>
      <c r="BE650" s="61"/>
      <c r="BF650" s="61"/>
      <c r="BG650" s="61"/>
      <c r="BH650" s="61"/>
      <c r="BI650" s="61"/>
      <c r="BJ650" s="61"/>
      <c r="BK650" s="61"/>
      <c r="BL650" s="61"/>
      <c r="BM650" s="61"/>
      <c r="BN650" s="2068">
        <f t="shared" si="28"/>
        <v>0</v>
      </c>
      <c r="BO650" s="2069"/>
      <c r="BP650" s="2069"/>
      <c r="BQ650" s="2069"/>
      <c r="BR650" s="2070"/>
      <c r="BS650" s="2062">
        <f t="shared" si="29"/>
        <v>0</v>
      </c>
      <c r="BT650" s="2062"/>
      <c r="BU650" s="2062"/>
      <c r="BV650" s="2062"/>
      <c r="BW650" s="2062"/>
      <c r="BX650" s="2062">
        <f t="shared" si="30"/>
        <v>0</v>
      </c>
      <c r="BY650" s="2062"/>
      <c r="BZ650" s="2062"/>
      <c r="CA650" s="2062"/>
      <c r="CB650" s="2062"/>
      <c r="CC650" s="2062">
        <f t="shared" si="31"/>
        <v>0</v>
      </c>
      <c r="CD650" s="2062"/>
      <c r="CE650" s="2062"/>
      <c r="CF650" s="2062"/>
      <c r="CG650" s="2062"/>
      <c r="CH650" s="2062">
        <f t="shared" si="32"/>
        <v>0</v>
      </c>
      <c r="CI650" s="2062"/>
      <c r="CJ650" s="2062"/>
      <c r="CK650" s="2062"/>
      <c r="CL650" s="2062"/>
      <c r="CM650" s="2062">
        <f t="shared" si="33"/>
        <v>0</v>
      </c>
      <c r="CN650" s="2062"/>
      <c r="CO650" s="2062"/>
      <c r="CP650" s="2062"/>
      <c r="CQ650" s="2062"/>
      <c r="CR650" s="264"/>
      <c r="CS650" s="2068">
        <f t="shared" si="34"/>
        <v>0</v>
      </c>
      <c r="CT650" s="2069"/>
      <c r="CU650" s="2069"/>
      <c r="CV650" s="2069"/>
      <c r="CW650" s="2070"/>
      <c r="CX650" s="2068">
        <f t="shared" si="35"/>
        <v>0</v>
      </c>
      <c r="CY650" s="2069"/>
      <c r="CZ650" s="2069"/>
      <c r="DA650" s="2069"/>
      <c r="DB650" s="2070"/>
      <c r="DC650" s="2068">
        <f t="shared" si="36"/>
        <v>0</v>
      </c>
      <c r="DD650" s="2069"/>
      <c r="DE650" s="2069"/>
      <c r="DF650" s="2069"/>
      <c r="DG650" s="2070"/>
      <c r="DH650" s="2068">
        <f t="shared" si="37"/>
        <v>0</v>
      </c>
      <c r="DI650" s="2069"/>
      <c r="DJ650" s="2069"/>
      <c r="DK650" s="2069"/>
      <c r="DL650" s="2070"/>
      <c r="DM650" s="2068">
        <f t="shared" si="38"/>
        <v>0</v>
      </c>
      <c r="DN650" s="2069"/>
      <c r="DO650" s="2069"/>
      <c r="DP650" s="2069"/>
      <c r="DQ650" s="2070"/>
      <c r="DR650" s="2068">
        <f t="shared" si="39"/>
        <v>0</v>
      </c>
      <c r="DS650" s="2069"/>
      <c r="DT650" s="2069"/>
      <c r="DU650" s="2069"/>
      <c r="DV650" s="2070"/>
      <c r="DX650" s="2556" t="e">
        <f t="shared" si="22"/>
        <v>#VALUE!</v>
      </c>
      <c r="DY650" s="2556"/>
      <c r="DZ650" s="2556"/>
      <c r="EA650" s="2556"/>
      <c r="EB650" s="2556"/>
      <c r="EC650" s="2556" t="e">
        <f t="shared" si="23"/>
        <v>#VALUE!</v>
      </c>
      <c r="ED650" s="2556"/>
      <c r="EE650" s="2556"/>
      <c r="EF650" s="2556"/>
      <c r="EG650" s="2556"/>
      <c r="EH650" s="2556" t="e">
        <f t="shared" si="24"/>
        <v>#VALUE!</v>
      </c>
      <c r="EI650" s="2556"/>
      <c r="EJ650" s="2556"/>
      <c r="EK650" s="2556"/>
      <c r="EL650" s="2556"/>
      <c r="EM650" s="2556" t="e">
        <f t="shared" si="25"/>
        <v>#VALUE!</v>
      </c>
      <c r="EN650" s="2556"/>
      <c r="EO650" s="2556"/>
      <c r="EP650" s="2556"/>
      <c r="EQ650" s="2556"/>
      <c r="ER650" s="2556" t="e">
        <f t="shared" si="26"/>
        <v>#VALUE!</v>
      </c>
      <c r="ES650" s="2556"/>
      <c r="ET650" s="2556"/>
      <c r="EU650" s="2556"/>
      <c r="EV650" s="2556"/>
      <c r="EW650" s="2556" t="e">
        <f t="shared" si="27"/>
        <v>#VALUE!</v>
      </c>
      <c r="EX650" s="2556"/>
      <c r="EY650" s="2556"/>
      <c r="EZ650" s="2556"/>
      <c r="FA650" s="2556"/>
    </row>
    <row r="651" spans="1:157" ht="12.75" customHeight="1">
      <c r="B651" s="2567" t="s">
        <v>273</v>
      </c>
      <c r="C651" s="2190"/>
      <c r="D651" s="2190"/>
      <c r="E651" s="2190"/>
      <c r="F651" s="2190"/>
      <c r="G651" s="2190"/>
      <c r="H651" s="2190"/>
      <c r="I651" s="2190"/>
      <c r="J651" s="2190"/>
      <c r="K651" s="2190"/>
      <c r="L651" s="2190"/>
      <c r="M651" s="2190"/>
      <c r="N651" s="2190"/>
      <c r="O651" s="2190"/>
      <c r="P651" s="2190"/>
      <c r="Q651" s="2190"/>
      <c r="R651" s="2190"/>
      <c r="S651" s="2190"/>
      <c r="T651" s="2190"/>
      <c r="U651" s="2190"/>
      <c r="V651" s="2190"/>
      <c r="W651" s="2190"/>
      <c r="X651" s="2190"/>
      <c r="Y651" s="2190"/>
      <c r="Z651" s="2190"/>
      <c r="AA651" s="2190"/>
      <c r="AB651" s="2190"/>
      <c r="AC651" s="2190"/>
      <c r="AD651" s="2190"/>
      <c r="AE651" s="2190"/>
      <c r="AF651" s="2190"/>
      <c r="AG651" s="2190"/>
      <c r="AH651" s="2190"/>
      <c r="AI651" s="2190"/>
      <c r="AJ651" s="2190"/>
      <c r="AK651" s="2190"/>
      <c r="AL651" s="2190"/>
      <c r="AM651" s="2190"/>
      <c r="AN651" s="2568"/>
      <c r="AO651" s="2148">
        <f>AO649+AO650</f>
        <v>38889247</v>
      </c>
      <c r="AP651" s="2149"/>
      <c r="AQ651" s="2149"/>
      <c r="AR651" s="2149"/>
      <c r="AS651" s="2150"/>
      <c r="AZ651" s="61"/>
      <c r="BA651" s="61"/>
      <c r="BB651" s="61"/>
      <c r="BC651" s="61"/>
      <c r="BD651" s="61"/>
      <c r="BE651" s="61"/>
      <c r="BF651" s="61"/>
      <c r="BG651" s="61"/>
      <c r="BH651" s="61"/>
      <c r="BI651" s="61"/>
      <c r="BJ651" s="61"/>
      <c r="BK651" s="61"/>
      <c r="BL651" s="61"/>
      <c r="BM651" s="61"/>
      <c r="BN651" s="2068">
        <f t="shared" si="28"/>
        <v>0</v>
      </c>
      <c r="BO651" s="2069"/>
      <c r="BP651" s="2069"/>
      <c r="BQ651" s="2069"/>
      <c r="BR651" s="2070"/>
      <c r="BS651" s="2062">
        <f t="shared" si="29"/>
        <v>0</v>
      </c>
      <c r="BT651" s="2062"/>
      <c r="BU651" s="2062"/>
      <c r="BV651" s="2062"/>
      <c r="BW651" s="2062"/>
      <c r="BX651" s="2062">
        <f t="shared" si="30"/>
        <v>0</v>
      </c>
      <c r="BY651" s="2062"/>
      <c r="BZ651" s="2062"/>
      <c r="CA651" s="2062"/>
      <c r="CB651" s="2062"/>
      <c r="CC651" s="2062">
        <f t="shared" si="31"/>
        <v>0</v>
      </c>
      <c r="CD651" s="2062"/>
      <c r="CE651" s="2062"/>
      <c r="CF651" s="2062"/>
      <c r="CG651" s="2062"/>
      <c r="CH651" s="2062">
        <f t="shared" si="32"/>
        <v>0</v>
      </c>
      <c r="CI651" s="2062"/>
      <c r="CJ651" s="2062"/>
      <c r="CK651" s="2062"/>
      <c r="CL651" s="2062"/>
      <c r="CM651" s="2062">
        <f t="shared" si="33"/>
        <v>0</v>
      </c>
      <c r="CN651" s="2062"/>
      <c r="CO651" s="2062"/>
      <c r="CP651" s="2062"/>
      <c r="CQ651" s="2062"/>
      <c r="CR651" s="264"/>
      <c r="CS651" s="2068">
        <f t="shared" si="34"/>
        <v>0</v>
      </c>
      <c r="CT651" s="2069"/>
      <c r="CU651" s="2069"/>
      <c r="CV651" s="2069"/>
      <c r="CW651" s="2070"/>
      <c r="CX651" s="2068">
        <f t="shared" si="35"/>
        <v>0</v>
      </c>
      <c r="CY651" s="2069"/>
      <c r="CZ651" s="2069"/>
      <c r="DA651" s="2069"/>
      <c r="DB651" s="2070"/>
      <c r="DC651" s="2068">
        <f t="shared" si="36"/>
        <v>0</v>
      </c>
      <c r="DD651" s="2069"/>
      <c r="DE651" s="2069"/>
      <c r="DF651" s="2069"/>
      <c r="DG651" s="2070"/>
      <c r="DH651" s="2068">
        <f t="shared" si="37"/>
        <v>0</v>
      </c>
      <c r="DI651" s="2069"/>
      <c r="DJ651" s="2069"/>
      <c r="DK651" s="2069"/>
      <c r="DL651" s="2070"/>
      <c r="DM651" s="2068">
        <f t="shared" si="38"/>
        <v>0</v>
      </c>
      <c r="DN651" s="2069"/>
      <c r="DO651" s="2069"/>
      <c r="DP651" s="2069"/>
      <c r="DQ651" s="2070"/>
      <c r="DR651" s="2068">
        <f t="shared" si="39"/>
        <v>0</v>
      </c>
      <c r="DS651" s="2069"/>
      <c r="DT651" s="2069"/>
      <c r="DU651" s="2069"/>
      <c r="DV651" s="2070"/>
      <c r="DX651" s="2556" t="e">
        <f t="shared" si="22"/>
        <v>#VALUE!</v>
      </c>
      <c r="DY651" s="2556"/>
      <c r="DZ651" s="2556"/>
      <c r="EA651" s="2556"/>
      <c r="EB651" s="2556"/>
      <c r="EC651" s="2556" t="e">
        <f t="shared" si="23"/>
        <v>#VALUE!</v>
      </c>
      <c r="ED651" s="2556"/>
      <c r="EE651" s="2556"/>
      <c r="EF651" s="2556"/>
      <c r="EG651" s="2556"/>
      <c r="EH651" s="2556" t="e">
        <f t="shared" si="24"/>
        <v>#VALUE!</v>
      </c>
      <c r="EI651" s="2556"/>
      <c r="EJ651" s="2556"/>
      <c r="EK651" s="2556"/>
      <c r="EL651" s="2556"/>
      <c r="EM651" s="2556" t="e">
        <f t="shared" si="25"/>
        <v>#VALUE!</v>
      </c>
      <c r="EN651" s="2556"/>
      <c r="EO651" s="2556"/>
      <c r="EP651" s="2556"/>
      <c r="EQ651" s="2556"/>
      <c r="ER651" s="2556" t="e">
        <f t="shared" si="26"/>
        <v>#VALUE!</v>
      </c>
      <c r="ES651" s="2556"/>
      <c r="ET651" s="2556"/>
      <c r="EU651" s="2556"/>
      <c r="EV651" s="2556"/>
      <c r="EW651" s="2556" t="e">
        <f t="shared" si="27"/>
        <v>#VALUE!</v>
      </c>
      <c r="EX651" s="2556"/>
      <c r="EY651" s="2556"/>
      <c r="EZ651" s="2556"/>
      <c r="FA651" s="2556"/>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68">
        <f t="shared" si="28"/>
        <v>0</v>
      </c>
      <c r="BO652" s="2069"/>
      <c r="BP652" s="2069"/>
      <c r="BQ652" s="2069"/>
      <c r="BR652" s="2070"/>
      <c r="BS652" s="2062">
        <f t="shared" si="29"/>
        <v>0</v>
      </c>
      <c r="BT652" s="2062"/>
      <c r="BU652" s="2062"/>
      <c r="BV652" s="2062"/>
      <c r="BW652" s="2062"/>
      <c r="BX652" s="2062">
        <f t="shared" si="30"/>
        <v>0</v>
      </c>
      <c r="BY652" s="2062"/>
      <c r="BZ652" s="2062"/>
      <c r="CA652" s="2062"/>
      <c r="CB652" s="2062"/>
      <c r="CC652" s="2062">
        <f t="shared" si="31"/>
        <v>0</v>
      </c>
      <c r="CD652" s="2062"/>
      <c r="CE652" s="2062"/>
      <c r="CF652" s="2062"/>
      <c r="CG652" s="2062"/>
      <c r="CH652" s="2062">
        <f t="shared" si="32"/>
        <v>0</v>
      </c>
      <c r="CI652" s="2062"/>
      <c r="CJ652" s="2062"/>
      <c r="CK652" s="2062"/>
      <c r="CL652" s="2062"/>
      <c r="CM652" s="2062">
        <f t="shared" si="33"/>
        <v>0</v>
      </c>
      <c r="CN652" s="2062"/>
      <c r="CO652" s="2062"/>
      <c r="CP652" s="2062"/>
      <c r="CQ652" s="2062"/>
      <c r="CR652" s="264"/>
      <c r="CS652" s="2068">
        <f t="shared" si="34"/>
        <v>0</v>
      </c>
      <c r="CT652" s="2069"/>
      <c r="CU652" s="2069"/>
      <c r="CV652" s="2069"/>
      <c r="CW652" s="2070"/>
      <c r="CX652" s="2068">
        <f t="shared" si="35"/>
        <v>0</v>
      </c>
      <c r="CY652" s="2069"/>
      <c r="CZ652" s="2069"/>
      <c r="DA652" s="2069"/>
      <c r="DB652" s="2070"/>
      <c r="DC652" s="2068">
        <f t="shared" si="36"/>
        <v>0</v>
      </c>
      <c r="DD652" s="2069"/>
      <c r="DE652" s="2069"/>
      <c r="DF652" s="2069"/>
      <c r="DG652" s="2070"/>
      <c r="DH652" s="2068">
        <f t="shared" si="37"/>
        <v>0</v>
      </c>
      <c r="DI652" s="2069"/>
      <c r="DJ652" s="2069"/>
      <c r="DK652" s="2069"/>
      <c r="DL652" s="2070"/>
      <c r="DM652" s="2068">
        <f t="shared" si="38"/>
        <v>0</v>
      </c>
      <c r="DN652" s="2069"/>
      <c r="DO652" s="2069"/>
      <c r="DP652" s="2069"/>
      <c r="DQ652" s="2070"/>
      <c r="DR652" s="2068">
        <f t="shared" si="39"/>
        <v>0</v>
      </c>
      <c r="DS652" s="2069"/>
      <c r="DT652" s="2069"/>
      <c r="DU652" s="2069"/>
      <c r="DV652" s="2070"/>
      <c r="DX652" s="2556" t="e">
        <f t="shared" si="22"/>
        <v>#VALUE!</v>
      </c>
      <c r="DY652" s="2556"/>
      <c r="DZ652" s="2556"/>
      <c r="EA652" s="2556"/>
      <c r="EB652" s="2556"/>
      <c r="EC652" s="2556" t="e">
        <f t="shared" si="23"/>
        <v>#VALUE!</v>
      </c>
      <c r="ED652" s="2556"/>
      <c r="EE652" s="2556"/>
      <c r="EF652" s="2556"/>
      <c r="EG652" s="2556"/>
      <c r="EH652" s="2556" t="e">
        <f t="shared" si="24"/>
        <v>#VALUE!</v>
      </c>
      <c r="EI652" s="2556"/>
      <c r="EJ652" s="2556"/>
      <c r="EK652" s="2556"/>
      <c r="EL652" s="2556"/>
      <c r="EM652" s="2556" t="e">
        <f t="shared" si="25"/>
        <v>#VALUE!</v>
      </c>
      <c r="EN652" s="2556"/>
      <c r="EO652" s="2556"/>
      <c r="EP652" s="2556"/>
      <c r="EQ652" s="2556"/>
      <c r="ER652" s="2556" t="e">
        <f t="shared" si="26"/>
        <v>#VALUE!</v>
      </c>
      <c r="ES652" s="2556"/>
      <c r="ET652" s="2556"/>
      <c r="EU652" s="2556"/>
      <c r="EV652" s="2556"/>
      <c r="EW652" s="2556" t="e">
        <f t="shared" si="27"/>
        <v>#VALUE!</v>
      </c>
      <c r="EX652" s="2556"/>
      <c r="EY652" s="2556"/>
      <c r="EZ652" s="2556"/>
      <c r="FA652" s="2556"/>
    </row>
    <row r="653" spans="1:157" ht="12.75">
      <c r="A653" s="87" t="s">
        <v>117</v>
      </c>
      <c r="B653" s="12" t="s">
        <v>495</v>
      </c>
      <c r="G653" s="2042" t="str">
        <f>C637</f>
        <v>CCRC Permanent Loan</v>
      </c>
      <c r="H653" s="2042"/>
      <c r="I653" s="2042"/>
      <c r="J653" s="2042"/>
      <c r="K653" s="2042"/>
      <c r="L653" s="2042"/>
      <c r="M653" s="2042"/>
      <c r="N653" s="2042"/>
      <c r="O653" s="2042"/>
      <c r="P653" s="2042"/>
      <c r="Q653" s="2042"/>
      <c r="R653" s="2042"/>
      <c r="S653" s="14"/>
      <c r="T653" s="87" t="s">
        <v>118</v>
      </c>
      <c r="U653" s="12" t="s">
        <v>495</v>
      </c>
      <c r="Z653" s="2042" t="str">
        <f>C638</f>
        <v>HCD AHSC Loan</v>
      </c>
      <c r="AA653" s="2042"/>
      <c r="AB653" s="2042"/>
      <c r="AC653" s="2042"/>
      <c r="AD653" s="2042"/>
      <c r="AE653" s="2042"/>
      <c r="AF653" s="2042"/>
      <c r="AG653" s="2042"/>
      <c r="AH653" s="2042"/>
      <c r="AI653" s="2042"/>
      <c r="AJ653" s="2042"/>
      <c r="AK653" s="2042"/>
      <c r="AZ653" s="61"/>
      <c r="BA653" s="61"/>
      <c r="BB653" s="61"/>
      <c r="BC653" s="61"/>
      <c r="BD653" s="61"/>
      <c r="BE653" s="61"/>
      <c r="BF653" s="61"/>
      <c r="BG653" s="61"/>
      <c r="BH653" s="61"/>
      <c r="BI653" s="61"/>
      <c r="BJ653" s="61"/>
      <c r="BK653" s="61"/>
      <c r="BL653" s="61"/>
      <c r="BM653" s="61"/>
      <c r="BN653" s="2068">
        <f t="shared" si="28"/>
        <v>0</v>
      </c>
      <c r="BO653" s="2069"/>
      <c r="BP653" s="2069"/>
      <c r="BQ653" s="2069"/>
      <c r="BR653" s="2070"/>
      <c r="BS653" s="2062">
        <f t="shared" si="29"/>
        <v>0</v>
      </c>
      <c r="BT653" s="2062"/>
      <c r="BU653" s="2062"/>
      <c r="BV653" s="2062"/>
      <c r="BW653" s="2062"/>
      <c r="BX653" s="2062">
        <f t="shared" si="30"/>
        <v>0</v>
      </c>
      <c r="BY653" s="2062"/>
      <c r="BZ653" s="2062"/>
      <c r="CA653" s="2062"/>
      <c r="CB653" s="2062"/>
      <c r="CC653" s="2062">
        <f t="shared" si="31"/>
        <v>0</v>
      </c>
      <c r="CD653" s="2062"/>
      <c r="CE653" s="2062"/>
      <c r="CF653" s="2062"/>
      <c r="CG653" s="2062"/>
      <c r="CH653" s="2062">
        <f t="shared" si="32"/>
        <v>0</v>
      </c>
      <c r="CI653" s="2062"/>
      <c r="CJ653" s="2062"/>
      <c r="CK653" s="2062"/>
      <c r="CL653" s="2062"/>
      <c r="CM653" s="2062">
        <f t="shared" si="33"/>
        <v>0</v>
      </c>
      <c r="CN653" s="2062"/>
      <c r="CO653" s="2062"/>
      <c r="CP653" s="2062"/>
      <c r="CQ653" s="2062"/>
      <c r="CR653" s="264"/>
      <c r="CS653" s="2068">
        <f t="shared" si="34"/>
        <v>0</v>
      </c>
      <c r="CT653" s="2069"/>
      <c r="CU653" s="2069"/>
      <c r="CV653" s="2069"/>
      <c r="CW653" s="2070"/>
      <c r="CX653" s="2068">
        <f t="shared" si="35"/>
        <v>0</v>
      </c>
      <c r="CY653" s="2069"/>
      <c r="CZ653" s="2069"/>
      <c r="DA653" s="2069"/>
      <c r="DB653" s="2070"/>
      <c r="DC653" s="2068">
        <f t="shared" si="36"/>
        <v>0</v>
      </c>
      <c r="DD653" s="2069"/>
      <c r="DE653" s="2069"/>
      <c r="DF653" s="2069"/>
      <c r="DG653" s="2070"/>
      <c r="DH653" s="2068">
        <f t="shared" si="37"/>
        <v>0</v>
      </c>
      <c r="DI653" s="2069"/>
      <c r="DJ653" s="2069"/>
      <c r="DK653" s="2069"/>
      <c r="DL653" s="2070"/>
      <c r="DM653" s="2068">
        <f t="shared" si="38"/>
        <v>0</v>
      </c>
      <c r="DN653" s="2069"/>
      <c r="DO653" s="2069"/>
      <c r="DP653" s="2069"/>
      <c r="DQ653" s="2070"/>
      <c r="DR653" s="2068">
        <f t="shared" si="39"/>
        <v>0</v>
      </c>
      <c r="DS653" s="2069"/>
      <c r="DT653" s="2069"/>
      <c r="DU653" s="2069"/>
      <c r="DV653" s="2070"/>
      <c r="DX653" s="2556" t="e">
        <f t="shared" si="22"/>
        <v>#VALUE!</v>
      </c>
      <c r="DY653" s="2556"/>
      <c r="DZ653" s="2556"/>
      <c r="EA653" s="2556"/>
      <c r="EB653" s="2556"/>
      <c r="EC653" s="2556" t="e">
        <f t="shared" si="23"/>
        <v>#VALUE!</v>
      </c>
      <c r="ED653" s="2556"/>
      <c r="EE653" s="2556"/>
      <c r="EF653" s="2556"/>
      <c r="EG653" s="2556"/>
      <c r="EH653" s="2556" t="e">
        <f t="shared" si="24"/>
        <v>#VALUE!</v>
      </c>
      <c r="EI653" s="2556"/>
      <c r="EJ653" s="2556"/>
      <c r="EK653" s="2556"/>
      <c r="EL653" s="2556"/>
      <c r="EM653" s="2556" t="e">
        <f t="shared" si="25"/>
        <v>#VALUE!</v>
      </c>
      <c r="EN653" s="2556"/>
      <c r="EO653" s="2556"/>
      <c r="EP653" s="2556"/>
      <c r="EQ653" s="2556"/>
      <c r="ER653" s="2556" t="e">
        <f t="shared" si="26"/>
        <v>#VALUE!</v>
      </c>
      <c r="ES653" s="2556"/>
      <c r="ET653" s="2556"/>
      <c r="EU653" s="2556"/>
      <c r="EV653" s="2556"/>
      <c r="EW653" s="2556" t="e">
        <f t="shared" si="27"/>
        <v>#VALUE!</v>
      </c>
      <c r="EX653" s="2556"/>
      <c r="EY653" s="2556"/>
      <c r="EZ653" s="2556"/>
      <c r="FA653" s="2556"/>
    </row>
    <row r="654" spans="1:157" ht="12.75">
      <c r="A654" s="35"/>
      <c r="B654" s="12" t="s">
        <v>90</v>
      </c>
      <c r="G654" s="2040" t="s">
        <v>2657</v>
      </c>
      <c r="H654" s="2040"/>
      <c r="I654" s="2040"/>
      <c r="J654" s="2040"/>
      <c r="K654" s="2040"/>
      <c r="L654" s="2040"/>
      <c r="M654" s="2040"/>
      <c r="N654" s="2040"/>
      <c r="O654" s="2040"/>
      <c r="P654" s="2040"/>
      <c r="Q654" s="2040"/>
      <c r="R654" s="2040"/>
      <c r="S654" s="14"/>
      <c r="T654" s="35"/>
      <c r="U654" s="12" t="s">
        <v>90</v>
      </c>
      <c r="Z654" s="2040" t="s">
        <v>2662</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68">
        <f t="shared" si="28"/>
        <v>0</v>
      </c>
      <c r="BO654" s="2069"/>
      <c r="BP654" s="2069"/>
      <c r="BQ654" s="2069"/>
      <c r="BR654" s="2070"/>
      <c r="BS654" s="2062">
        <f t="shared" si="29"/>
        <v>0</v>
      </c>
      <c r="BT654" s="2062"/>
      <c r="BU654" s="2062"/>
      <c r="BV654" s="2062"/>
      <c r="BW654" s="2062"/>
      <c r="BX654" s="2062">
        <f t="shared" si="30"/>
        <v>0</v>
      </c>
      <c r="BY654" s="2062"/>
      <c r="BZ654" s="2062"/>
      <c r="CA654" s="2062"/>
      <c r="CB654" s="2062"/>
      <c r="CC654" s="2062">
        <f t="shared" si="31"/>
        <v>0</v>
      </c>
      <c r="CD654" s="2062"/>
      <c r="CE654" s="2062"/>
      <c r="CF654" s="2062"/>
      <c r="CG654" s="2062"/>
      <c r="CH654" s="2062">
        <f t="shared" si="32"/>
        <v>0</v>
      </c>
      <c r="CI654" s="2062"/>
      <c r="CJ654" s="2062"/>
      <c r="CK654" s="2062"/>
      <c r="CL654" s="2062"/>
      <c r="CM654" s="2062">
        <f t="shared" si="33"/>
        <v>0</v>
      </c>
      <c r="CN654" s="2062"/>
      <c r="CO654" s="2062"/>
      <c r="CP654" s="2062"/>
      <c r="CQ654" s="2062"/>
      <c r="CR654" s="264"/>
      <c r="CS654" s="2068">
        <f t="shared" si="34"/>
        <v>0</v>
      </c>
      <c r="CT654" s="2069"/>
      <c r="CU654" s="2069"/>
      <c r="CV654" s="2069"/>
      <c r="CW654" s="2070"/>
      <c r="CX654" s="2068">
        <f t="shared" si="35"/>
        <v>0</v>
      </c>
      <c r="CY654" s="2069"/>
      <c r="CZ654" s="2069"/>
      <c r="DA654" s="2069"/>
      <c r="DB654" s="2070"/>
      <c r="DC654" s="2068">
        <f t="shared" si="36"/>
        <v>0</v>
      </c>
      <c r="DD654" s="2069"/>
      <c r="DE654" s="2069"/>
      <c r="DF654" s="2069"/>
      <c r="DG654" s="2070"/>
      <c r="DH654" s="2068">
        <f t="shared" si="37"/>
        <v>0</v>
      </c>
      <c r="DI654" s="2069"/>
      <c r="DJ654" s="2069"/>
      <c r="DK654" s="2069"/>
      <c r="DL654" s="2070"/>
      <c r="DM654" s="2068">
        <f t="shared" si="38"/>
        <v>0</v>
      </c>
      <c r="DN654" s="2069"/>
      <c r="DO654" s="2069"/>
      <c r="DP654" s="2069"/>
      <c r="DQ654" s="2070"/>
      <c r="DR654" s="2068">
        <f t="shared" si="39"/>
        <v>0</v>
      </c>
      <c r="DS654" s="2069"/>
      <c r="DT654" s="2069"/>
      <c r="DU654" s="2069"/>
      <c r="DV654" s="2070"/>
      <c r="DX654" s="2556" t="e">
        <f t="shared" si="22"/>
        <v>#VALUE!</v>
      </c>
      <c r="DY654" s="2556"/>
      <c r="DZ654" s="2556"/>
      <c r="EA654" s="2556"/>
      <c r="EB654" s="2556"/>
      <c r="EC654" s="2556" t="e">
        <f t="shared" si="23"/>
        <v>#VALUE!</v>
      </c>
      <c r="ED654" s="2556"/>
      <c r="EE654" s="2556"/>
      <c r="EF654" s="2556"/>
      <c r="EG654" s="2556"/>
      <c r="EH654" s="2556" t="e">
        <f t="shared" si="24"/>
        <v>#VALUE!</v>
      </c>
      <c r="EI654" s="2556"/>
      <c r="EJ654" s="2556"/>
      <c r="EK654" s="2556"/>
      <c r="EL654" s="2556"/>
      <c r="EM654" s="2556" t="e">
        <f t="shared" si="25"/>
        <v>#VALUE!</v>
      </c>
      <c r="EN654" s="2556"/>
      <c r="EO654" s="2556"/>
      <c r="EP654" s="2556"/>
      <c r="EQ654" s="2556"/>
      <c r="ER654" s="2556" t="e">
        <f t="shared" si="26"/>
        <v>#VALUE!</v>
      </c>
      <c r="ES654" s="2556"/>
      <c r="ET654" s="2556"/>
      <c r="EU654" s="2556"/>
      <c r="EV654" s="2556"/>
      <c r="EW654" s="2556" t="e">
        <f t="shared" si="27"/>
        <v>#VALUE!</v>
      </c>
      <c r="EX654" s="2556"/>
      <c r="EY654" s="2556"/>
      <c r="EZ654" s="2556"/>
      <c r="FA654" s="2556"/>
    </row>
    <row r="655" spans="1:157" ht="12.75">
      <c r="A655" s="35"/>
      <c r="B655" s="12" t="s">
        <v>614</v>
      </c>
      <c r="G655" s="2040" t="s">
        <v>2658</v>
      </c>
      <c r="H655" s="2040"/>
      <c r="I655" s="2040"/>
      <c r="J655" s="2040"/>
      <c r="K655" s="2040"/>
      <c r="L655" s="2040"/>
      <c r="M655" s="2040"/>
      <c r="N655" s="2040"/>
      <c r="O655" s="2040"/>
      <c r="P655" s="2040"/>
      <c r="Q655" s="2040"/>
      <c r="R655" s="2040"/>
      <c r="S655" s="88"/>
      <c r="T655" s="35"/>
      <c r="U655" s="12" t="s">
        <v>614</v>
      </c>
      <c r="Z655" s="2032" t="s">
        <v>71</v>
      </c>
      <c r="AA655" s="2032"/>
      <c r="AB655" s="2032"/>
      <c r="AC655" s="2032"/>
      <c r="AD655" s="2032"/>
      <c r="AE655" s="2032"/>
      <c r="AF655" s="2032"/>
      <c r="AG655" s="2032"/>
      <c r="AH655" s="2032"/>
      <c r="AI655" s="2032"/>
      <c r="AJ655" s="2032"/>
      <c r="AK655" s="2032"/>
      <c r="AZ655" s="61"/>
      <c r="BA655" s="61"/>
      <c r="BB655" s="61"/>
      <c r="BC655" s="61"/>
      <c r="BD655" s="61"/>
      <c r="BE655" s="61"/>
      <c r="BF655" s="61"/>
      <c r="BG655" s="61"/>
      <c r="BH655" s="61"/>
      <c r="BI655" s="61"/>
      <c r="BJ655" s="61"/>
      <c r="BK655" s="61"/>
      <c r="BL655" s="61"/>
      <c r="BM655" s="61"/>
      <c r="BN655" s="2068">
        <f t="shared" si="28"/>
        <v>0</v>
      </c>
      <c r="BO655" s="2069"/>
      <c r="BP655" s="2069"/>
      <c r="BQ655" s="2069"/>
      <c r="BR655" s="2070"/>
      <c r="BS655" s="2062">
        <f t="shared" si="29"/>
        <v>0</v>
      </c>
      <c r="BT655" s="2062"/>
      <c r="BU655" s="2062"/>
      <c r="BV655" s="2062"/>
      <c r="BW655" s="2062"/>
      <c r="BX655" s="2062">
        <f t="shared" si="30"/>
        <v>0</v>
      </c>
      <c r="BY655" s="2062"/>
      <c r="BZ655" s="2062"/>
      <c r="CA655" s="2062"/>
      <c r="CB655" s="2062"/>
      <c r="CC655" s="2062">
        <f t="shared" si="31"/>
        <v>0</v>
      </c>
      <c r="CD655" s="2062"/>
      <c r="CE655" s="2062"/>
      <c r="CF655" s="2062"/>
      <c r="CG655" s="2062"/>
      <c r="CH655" s="2062">
        <f t="shared" si="32"/>
        <v>0</v>
      </c>
      <c r="CI655" s="2062"/>
      <c r="CJ655" s="2062"/>
      <c r="CK655" s="2062"/>
      <c r="CL655" s="2062"/>
      <c r="CM655" s="2062">
        <f t="shared" si="33"/>
        <v>0</v>
      </c>
      <c r="CN655" s="2062"/>
      <c r="CO655" s="2062"/>
      <c r="CP655" s="2062"/>
      <c r="CQ655" s="2062"/>
      <c r="CR655" s="264"/>
      <c r="CS655" s="2068">
        <f t="shared" si="34"/>
        <v>0</v>
      </c>
      <c r="CT655" s="2069"/>
      <c r="CU655" s="2069"/>
      <c r="CV655" s="2069"/>
      <c r="CW655" s="2070"/>
      <c r="CX655" s="2068">
        <f t="shared" si="35"/>
        <v>0</v>
      </c>
      <c r="CY655" s="2069"/>
      <c r="CZ655" s="2069"/>
      <c r="DA655" s="2069"/>
      <c r="DB655" s="2070"/>
      <c r="DC655" s="2068">
        <f t="shared" si="36"/>
        <v>0</v>
      </c>
      <c r="DD655" s="2069"/>
      <c r="DE655" s="2069"/>
      <c r="DF655" s="2069"/>
      <c r="DG655" s="2070"/>
      <c r="DH655" s="2068">
        <f t="shared" si="37"/>
        <v>0</v>
      </c>
      <c r="DI655" s="2069"/>
      <c r="DJ655" s="2069"/>
      <c r="DK655" s="2069"/>
      <c r="DL655" s="2070"/>
      <c r="DM655" s="2068">
        <f t="shared" si="38"/>
        <v>0</v>
      </c>
      <c r="DN655" s="2069"/>
      <c r="DO655" s="2069"/>
      <c r="DP655" s="2069"/>
      <c r="DQ655" s="2070"/>
      <c r="DR655" s="2068">
        <f t="shared" si="39"/>
        <v>0</v>
      </c>
      <c r="DS655" s="2069"/>
      <c r="DT655" s="2069"/>
      <c r="DU655" s="2069"/>
      <c r="DV655" s="2070"/>
      <c r="DX655" s="2556" t="e">
        <f t="shared" si="22"/>
        <v>#VALUE!</v>
      </c>
      <c r="DY655" s="2556"/>
      <c r="DZ655" s="2556"/>
      <c r="EA655" s="2556"/>
      <c r="EB655" s="2556"/>
      <c r="EC655" s="2556" t="e">
        <f t="shared" si="23"/>
        <v>#VALUE!</v>
      </c>
      <c r="ED655" s="2556"/>
      <c r="EE655" s="2556"/>
      <c r="EF655" s="2556"/>
      <c r="EG655" s="2556"/>
      <c r="EH655" s="2556" t="e">
        <f t="shared" si="24"/>
        <v>#VALUE!</v>
      </c>
      <c r="EI655" s="2556"/>
      <c r="EJ655" s="2556"/>
      <c r="EK655" s="2556"/>
      <c r="EL655" s="2556"/>
      <c r="EM655" s="2556" t="e">
        <f t="shared" si="25"/>
        <v>#VALUE!</v>
      </c>
      <c r="EN655" s="2556"/>
      <c r="EO655" s="2556"/>
      <c r="EP655" s="2556"/>
      <c r="EQ655" s="2556"/>
      <c r="ER655" s="2556" t="e">
        <f t="shared" si="26"/>
        <v>#VALUE!</v>
      </c>
      <c r="ES655" s="2556"/>
      <c r="ET655" s="2556"/>
      <c r="EU655" s="2556"/>
      <c r="EV655" s="2556"/>
      <c r="EW655" s="2556" t="e">
        <f t="shared" si="27"/>
        <v>#VALUE!</v>
      </c>
      <c r="EX655" s="2556"/>
      <c r="EY655" s="2556"/>
      <c r="EZ655" s="2556"/>
      <c r="FA655" s="2556"/>
    </row>
    <row r="656" spans="1:157" ht="12.75">
      <c r="A656" s="35"/>
      <c r="B656" s="12" t="s">
        <v>17</v>
      </c>
      <c r="G656" s="2040" t="s">
        <v>2659</v>
      </c>
      <c r="H656" s="2040"/>
      <c r="I656" s="2040"/>
      <c r="J656" s="2040"/>
      <c r="K656" s="2040"/>
      <c r="L656" s="2040"/>
      <c r="M656" s="2040"/>
      <c r="N656" s="2040"/>
      <c r="O656" s="2040"/>
      <c r="P656" s="2040"/>
      <c r="Q656" s="2040"/>
      <c r="R656" s="2040"/>
      <c r="S656" s="14"/>
      <c r="T656" s="35"/>
      <c r="U656" s="12" t="s">
        <v>17</v>
      </c>
      <c r="Z656" s="2032" t="s">
        <v>2644</v>
      </c>
      <c r="AA656" s="2032"/>
      <c r="AB656" s="2032"/>
      <c r="AC656" s="2032"/>
      <c r="AD656" s="2032"/>
      <c r="AE656" s="2032"/>
      <c r="AF656" s="2032"/>
      <c r="AG656" s="2032"/>
      <c r="AH656" s="2032"/>
      <c r="AI656" s="2032"/>
      <c r="AJ656" s="2032"/>
      <c r="AK656" s="2032"/>
      <c r="AZ656" s="61"/>
      <c r="BA656" s="61"/>
      <c r="BB656" s="61"/>
      <c r="BC656" s="61"/>
      <c r="BD656" s="61"/>
      <c r="BE656" s="61"/>
      <c r="BF656" s="61"/>
      <c r="BG656" s="61"/>
      <c r="BH656" s="61"/>
      <c r="BI656" s="61"/>
      <c r="BJ656" s="61"/>
      <c r="BK656" s="61"/>
      <c r="BL656" s="61"/>
      <c r="BM656" s="61"/>
      <c r="BN656" s="2068">
        <f t="shared" si="28"/>
        <v>0</v>
      </c>
      <c r="BO656" s="2069"/>
      <c r="BP656" s="2069"/>
      <c r="BQ656" s="2069"/>
      <c r="BR656" s="2070"/>
      <c r="BS656" s="2062">
        <f t="shared" si="29"/>
        <v>0</v>
      </c>
      <c r="BT656" s="2062"/>
      <c r="BU656" s="2062"/>
      <c r="BV656" s="2062"/>
      <c r="BW656" s="2062"/>
      <c r="BX656" s="2062">
        <f t="shared" si="30"/>
        <v>0</v>
      </c>
      <c r="BY656" s="2062"/>
      <c r="BZ656" s="2062"/>
      <c r="CA656" s="2062"/>
      <c r="CB656" s="2062"/>
      <c r="CC656" s="2062">
        <f t="shared" si="31"/>
        <v>0</v>
      </c>
      <c r="CD656" s="2062"/>
      <c r="CE656" s="2062"/>
      <c r="CF656" s="2062"/>
      <c r="CG656" s="2062"/>
      <c r="CH656" s="2062">
        <f t="shared" si="32"/>
        <v>0</v>
      </c>
      <c r="CI656" s="2062"/>
      <c r="CJ656" s="2062"/>
      <c r="CK656" s="2062"/>
      <c r="CL656" s="2062"/>
      <c r="CM656" s="2062">
        <f t="shared" si="33"/>
        <v>0</v>
      </c>
      <c r="CN656" s="2062"/>
      <c r="CO656" s="2062"/>
      <c r="CP656" s="2062"/>
      <c r="CQ656" s="2062"/>
      <c r="CR656" s="264"/>
      <c r="CS656" s="2068">
        <f t="shared" si="34"/>
        <v>0</v>
      </c>
      <c r="CT656" s="2069"/>
      <c r="CU656" s="2069"/>
      <c r="CV656" s="2069"/>
      <c r="CW656" s="2070"/>
      <c r="CX656" s="2068">
        <f t="shared" si="35"/>
        <v>0</v>
      </c>
      <c r="CY656" s="2069"/>
      <c r="CZ656" s="2069"/>
      <c r="DA656" s="2069"/>
      <c r="DB656" s="2070"/>
      <c r="DC656" s="2068">
        <f t="shared" si="36"/>
        <v>0</v>
      </c>
      <c r="DD656" s="2069"/>
      <c r="DE656" s="2069"/>
      <c r="DF656" s="2069"/>
      <c r="DG656" s="2070"/>
      <c r="DH656" s="2068">
        <f t="shared" si="37"/>
        <v>0</v>
      </c>
      <c r="DI656" s="2069"/>
      <c r="DJ656" s="2069"/>
      <c r="DK656" s="2069"/>
      <c r="DL656" s="2070"/>
      <c r="DM656" s="2068">
        <f t="shared" si="38"/>
        <v>0</v>
      </c>
      <c r="DN656" s="2069"/>
      <c r="DO656" s="2069"/>
      <c r="DP656" s="2069"/>
      <c r="DQ656" s="2070"/>
      <c r="DR656" s="2068">
        <f t="shared" si="39"/>
        <v>0</v>
      </c>
      <c r="DS656" s="2069"/>
      <c r="DT656" s="2069"/>
      <c r="DU656" s="2069"/>
      <c r="DV656" s="2070"/>
      <c r="DX656" s="2556" t="e">
        <f t="shared" si="22"/>
        <v>#VALUE!</v>
      </c>
      <c r="DY656" s="2556"/>
      <c r="DZ656" s="2556"/>
      <c r="EA656" s="2556"/>
      <c r="EB656" s="2556"/>
      <c r="EC656" s="2556" t="e">
        <f t="shared" si="23"/>
        <v>#VALUE!</v>
      </c>
      <c r="ED656" s="2556"/>
      <c r="EE656" s="2556"/>
      <c r="EF656" s="2556"/>
      <c r="EG656" s="2556"/>
      <c r="EH656" s="2556" t="e">
        <f t="shared" si="24"/>
        <v>#VALUE!</v>
      </c>
      <c r="EI656" s="2556"/>
      <c r="EJ656" s="2556"/>
      <c r="EK656" s="2556"/>
      <c r="EL656" s="2556"/>
      <c r="EM656" s="2556" t="e">
        <f t="shared" si="25"/>
        <v>#VALUE!</v>
      </c>
      <c r="EN656" s="2556"/>
      <c r="EO656" s="2556"/>
      <c r="EP656" s="2556"/>
      <c r="EQ656" s="2556"/>
      <c r="ER656" s="2556" t="e">
        <f t="shared" si="26"/>
        <v>#VALUE!</v>
      </c>
      <c r="ES656" s="2556"/>
      <c r="ET656" s="2556"/>
      <c r="EU656" s="2556"/>
      <c r="EV656" s="2556"/>
      <c r="EW656" s="2556" t="e">
        <f t="shared" si="27"/>
        <v>#VALUE!</v>
      </c>
      <c r="EX656" s="2556"/>
      <c r="EY656" s="2556"/>
      <c r="EZ656" s="2556"/>
      <c r="FA656" s="2556"/>
    </row>
    <row r="657" spans="1:157" ht="12.75">
      <c r="A657" s="35"/>
      <c r="B657" s="12" t="s">
        <v>324</v>
      </c>
      <c r="G657" s="2044" t="s">
        <v>2660</v>
      </c>
      <c r="H657" s="2044"/>
      <c r="I657" s="2044"/>
      <c r="J657" s="2044"/>
      <c r="K657" s="2044"/>
      <c r="L657" s="2044"/>
      <c r="O657" s="137" t="s">
        <v>211</v>
      </c>
      <c r="P657" s="2045"/>
      <c r="Q657" s="2045"/>
      <c r="R657" s="2045"/>
      <c r="S657" s="16"/>
      <c r="T657" s="35"/>
      <c r="U657" s="12" t="s">
        <v>324</v>
      </c>
      <c r="Z657" s="2044" t="s">
        <v>2645</v>
      </c>
      <c r="AA657" s="2056"/>
      <c r="AB657" s="2056"/>
      <c r="AC657" s="2056"/>
      <c r="AD657" s="2056"/>
      <c r="AE657" s="2056"/>
      <c r="AH657" s="137" t="s">
        <v>211</v>
      </c>
      <c r="AI657" s="2045"/>
      <c r="AJ657" s="2045"/>
      <c r="AK657" s="2045"/>
      <c r="AZ657" s="61"/>
      <c r="BA657" s="61"/>
      <c r="BB657" s="61"/>
      <c r="BC657" s="61"/>
      <c r="BD657" s="61"/>
      <c r="BE657" s="61"/>
      <c r="BF657" s="61"/>
      <c r="BG657" s="61"/>
      <c r="BH657" s="61"/>
      <c r="BI657" s="61"/>
      <c r="BJ657" s="61"/>
      <c r="BK657" s="61"/>
      <c r="BL657" s="61"/>
      <c r="BM657" s="61"/>
      <c r="BN657" s="2068">
        <f t="shared" si="28"/>
        <v>0</v>
      </c>
      <c r="BO657" s="2069"/>
      <c r="BP657" s="2069"/>
      <c r="BQ657" s="2069"/>
      <c r="BR657" s="2070"/>
      <c r="BS657" s="2062">
        <f t="shared" si="29"/>
        <v>0</v>
      </c>
      <c r="BT657" s="2062"/>
      <c r="BU657" s="2062"/>
      <c r="BV657" s="2062"/>
      <c r="BW657" s="2062"/>
      <c r="BX657" s="2062">
        <f t="shared" si="30"/>
        <v>0</v>
      </c>
      <c r="BY657" s="2062"/>
      <c r="BZ657" s="2062"/>
      <c r="CA657" s="2062"/>
      <c r="CB657" s="2062"/>
      <c r="CC657" s="2062">
        <f t="shared" si="31"/>
        <v>0</v>
      </c>
      <c r="CD657" s="2062"/>
      <c r="CE657" s="2062"/>
      <c r="CF657" s="2062"/>
      <c r="CG657" s="2062"/>
      <c r="CH657" s="2062">
        <f t="shared" si="32"/>
        <v>0</v>
      </c>
      <c r="CI657" s="2062"/>
      <c r="CJ657" s="2062"/>
      <c r="CK657" s="2062"/>
      <c r="CL657" s="2062"/>
      <c r="CM657" s="2062">
        <f t="shared" si="33"/>
        <v>0</v>
      </c>
      <c r="CN657" s="2062"/>
      <c r="CO657" s="2062"/>
      <c r="CP657" s="2062"/>
      <c r="CQ657" s="2062"/>
      <c r="CR657" s="264"/>
      <c r="CS657" s="2068">
        <f t="shared" si="34"/>
        <v>0</v>
      </c>
      <c r="CT657" s="2069"/>
      <c r="CU657" s="2069"/>
      <c r="CV657" s="2069"/>
      <c r="CW657" s="2070"/>
      <c r="CX657" s="2068">
        <f t="shared" si="35"/>
        <v>0</v>
      </c>
      <c r="CY657" s="2069"/>
      <c r="CZ657" s="2069"/>
      <c r="DA657" s="2069"/>
      <c r="DB657" s="2070"/>
      <c r="DC657" s="2068">
        <f t="shared" si="36"/>
        <v>0</v>
      </c>
      <c r="DD657" s="2069"/>
      <c r="DE657" s="2069"/>
      <c r="DF657" s="2069"/>
      <c r="DG657" s="2070"/>
      <c r="DH657" s="2068">
        <f t="shared" si="37"/>
        <v>0</v>
      </c>
      <c r="DI657" s="2069"/>
      <c r="DJ657" s="2069"/>
      <c r="DK657" s="2069"/>
      <c r="DL657" s="2070"/>
      <c r="DM657" s="2068">
        <f t="shared" si="38"/>
        <v>0</v>
      </c>
      <c r="DN657" s="2069"/>
      <c r="DO657" s="2069"/>
      <c r="DP657" s="2069"/>
      <c r="DQ657" s="2070"/>
      <c r="DR657" s="2068">
        <f t="shared" si="39"/>
        <v>0</v>
      </c>
      <c r="DS657" s="2069"/>
      <c r="DT657" s="2069"/>
      <c r="DU657" s="2069"/>
      <c r="DV657" s="2070"/>
      <c r="DX657" s="2556" t="e">
        <f t="shared" si="22"/>
        <v>#VALUE!</v>
      </c>
      <c r="DY657" s="2556"/>
      <c r="DZ657" s="2556"/>
      <c r="EA657" s="2556"/>
      <c r="EB657" s="2556"/>
      <c r="EC657" s="2556" t="e">
        <f t="shared" si="23"/>
        <v>#VALUE!</v>
      </c>
      <c r="ED657" s="2556"/>
      <c r="EE657" s="2556"/>
      <c r="EF657" s="2556"/>
      <c r="EG657" s="2556"/>
      <c r="EH657" s="2556" t="e">
        <f t="shared" si="24"/>
        <v>#VALUE!</v>
      </c>
      <c r="EI657" s="2556"/>
      <c r="EJ657" s="2556"/>
      <c r="EK657" s="2556"/>
      <c r="EL657" s="2556"/>
      <c r="EM657" s="2556" t="e">
        <f t="shared" si="25"/>
        <v>#VALUE!</v>
      </c>
      <c r="EN657" s="2556"/>
      <c r="EO657" s="2556"/>
      <c r="EP657" s="2556"/>
      <c r="EQ657" s="2556"/>
      <c r="ER657" s="2556" t="e">
        <f t="shared" si="26"/>
        <v>#VALUE!</v>
      </c>
      <c r="ES657" s="2556"/>
      <c r="ET657" s="2556"/>
      <c r="EU657" s="2556"/>
      <c r="EV657" s="2556"/>
      <c r="EW657" s="2556" t="e">
        <f t="shared" si="27"/>
        <v>#VALUE!</v>
      </c>
      <c r="EX657" s="2556"/>
      <c r="EY657" s="2556"/>
      <c r="EZ657" s="2556"/>
      <c r="FA657" s="2556"/>
    </row>
    <row r="658" spans="1:157" ht="12.75">
      <c r="A658" s="35"/>
      <c r="B658" s="12" t="s">
        <v>18</v>
      </c>
      <c r="H658" s="2043" t="s">
        <v>2661</v>
      </c>
      <c r="I658" s="2040"/>
      <c r="J658" s="2040"/>
      <c r="K658" s="2040"/>
      <c r="L658" s="2040"/>
      <c r="M658" s="2040"/>
      <c r="N658" s="2040"/>
      <c r="O658" s="2040"/>
      <c r="P658" s="2040"/>
      <c r="Q658" s="2040"/>
      <c r="R658" s="2040"/>
      <c r="S658" s="14"/>
      <c r="T658" s="35"/>
      <c r="U658" s="12" t="s">
        <v>18</v>
      </c>
      <c r="AA658" s="2040" t="s">
        <v>2647</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71">
        <f>SUM(BN648:BR657)</f>
        <v>0</v>
      </c>
      <c r="BO658" s="2072"/>
      <c r="BP658" s="2072"/>
      <c r="BQ658" s="2072"/>
      <c r="BR658" s="2073"/>
      <c r="BS658" s="2065">
        <f>SUM(BS648:BW657)</f>
        <v>0</v>
      </c>
      <c r="BT658" s="2066"/>
      <c r="BU658" s="2066"/>
      <c r="BV658" s="2066"/>
      <c r="BW658" s="2067"/>
      <c r="BX658" s="2065">
        <f>SUM(BX648:CB657)</f>
        <v>0</v>
      </c>
      <c r="BY658" s="2066"/>
      <c r="BZ658" s="2066"/>
      <c r="CA658" s="2066"/>
      <c r="CB658" s="2067"/>
      <c r="CC658" s="2065">
        <f>SUM(CC648:CG657)</f>
        <v>0</v>
      </c>
      <c r="CD658" s="2066"/>
      <c r="CE658" s="2066"/>
      <c r="CF658" s="2066"/>
      <c r="CG658" s="2067"/>
      <c r="CH658" s="2065">
        <f>SUM(CH648:CL657)</f>
        <v>0</v>
      </c>
      <c r="CI658" s="2066"/>
      <c r="CJ658" s="2066"/>
      <c r="CK658" s="2066"/>
      <c r="CL658" s="2067"/>
      <c r="CM658" s="2065">
        <f>SUM(CM648:CQ657)</f>
        <v>0</v>
      </c>
      <c r="CN658" s="2066"/>
      <c r="CO658" s="2066"/>
      <c r="CP658" s="2066"/>
      <c r="CQ658" s="2067"/>
      <c r="CR658" s="1804"/>
      <c r="CS658" s="2566">
        <f>SUM(CS648:CW657)</f>
        <v>0</v>
      </c>
      <c r="CT658" s="2566"/>
      <c r="CU658" s="2566"/>
      <c r="CV658" s="2566"/>
      <c r="CW658" s="2566"/>
      <c r="CX658" s="2566">
        <f>SUM(CX648:DB657)</f>
        <v>0</v>
      </c>
      <c r="CY658" s="2566"/>
      <c r="CZ658" s="2566"/>
      <c r="DA658" s="2566"/>
      <c r="DB658" s="2566"/>
      <c r="DC658" s="2566">
        <f>SUM(DC648:DG657)</f>
        <v>0</v>
      </c>
      <c r="DD658" s="2566"/>
      <c r="DE658" s="2566"/>
      <c r="DF658" s="2566"/>
      <c r="DG658" s="2566"/>
      <c r="DH658" s="2566">
        <f>SUM(DH648:DL657)</f>
        <v>0</v>
      </c>
      <c r="DI658" s="2566"/>
      <c r="DJ658" s="2566"/>
      <c r="DK658" s="2566"/>
      <c r="DL658" s="2566"/>
      <c r="DM658" s="2566">
        <f>SUM(DM648:DQ657)</f>
        <v>0</v>
      </c>
      <c r="DN658" s="2566"/>
      <c r="DO658" s="2566"/>
      <c r="DP658" s="2566"/>
      <c r="DQ658" s="2566"/>
      <c r="DR658" s="2566">
        <f>SUM(DR648:DV657)</f>
        <v>0</v>
      </c>
      <c r="DS658" s="2566"/>
      <c r="DT658" s="2566"/>
      <c r="DU658" s="2566"/>
      <c r="DV658" s="2566"/>
      <c r="DX658" s="2556" t="e">
        <f t="shared" si="22"/>
        <v>#VALUE!</v>
      </c>
      <c r="DY658" s="2556"/>
      <c r="DZ658" s="2556"/>
      <c r="EA658" s="2556"/>
      <c r="EB658" s="2556"/>
      <c r="EC658" s="2556" t="e">
        <f t="shared" si="23"/>
        <v>#VALUE!</v>
      </c>
      <c r="ED658" s="2556"/>
      <c r="EE658" s="2556"/>
      <c r="EF658" s="2556"/>
      <c r="EG658" s="2556"/>
      <c r="EH658" s="2556" t="e">
        <f t="shared" si="24"/>
        <v>#VALUE!</v>
      </c>
      <c r="EI658" s="2556"/>
      <c r="EJ658" s="2556"/>
      <c r="EK658" s="2556"/>
      <c r="EL658" s="2556"/>
      <c r="EM658" s="2556" t="e">
        <f t="shared" si="25"/>
        <v>#VALUE!</v>
      </c>
      <c r="EN658" s="2556"/>
      <c r="EO658" s="2556"/>
      <c r="EP658" s="2556"/>
      <c r="EQ658" s="2556"/>
      <c r="ER658" s="2556" t="e">
        <f t="shared" si="26"/>
        <v>#VALUE!</v>
      </c>
      <c r="ES658" s="2556"/>
      <c r="ET658" s="2556"/>
      <c r="EU658" s="2556"/>
      <c r="EV658" s="2556"/>
      <c r="EW658" s="2556" t="e">
        <f t="shared" si="27"/>
        <v>#VALUE!</v>
      </c>
      <c r="EX658" s="2556"/>
      <c r="EY658" s="2556"/>
      <c r="EZ658" s="2556"/>
      <c r="FA658" s="2556"/>
    </row>
    <row r="659" spans="1:157" ht="12.75">
      <c r="A659" s="35"/>
      <c r="B659" s="12" t="s">
        <v>20</v>
      </c>
      <c r="N659" s="2055" t="s">
        <v>577</v>
      </c>
      <c r="O659" s="2055"/>
      <c r="T659" s="35"/>
      <c r="U659" s="12" t="s">
        <v>20</v>
      </c>
      <c r="AG659" s="2055" t="s">
        <v>577</v>
      </c>
      <c r="AH659" s="2055"/>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6" t="e">
        <f t="shared" si="22"/>
        <v>#VALUE!</v>
      </c>
      <c r="DY659" s="2556"/>
      <c r="DZ659" s="2556"/>
      <c r="EA659" s="2556"/>
      <c r="EB659" s="2556"/>
      <c r="EC659" s="2556" t="e">
        <f t="shared" si="23"/>
        <v>#VALUE!</v>
      </c>
      <c r="ED659" s="2556"/>
      <c r="EE659" s="2556"/>
      <c r="EF659" s="2556"/>
      <c r="EG659" s="2556"/>
      <c r="EH659" s="2556" t="e">
        <f t="shared" si="24"/>
        <v>#VALUE!</v>
      </c>
      <c r="EI659" s="2556"/>
      <c r="EJ659" s="2556"/>
      <c r="EK659" s="2556"/>
      <c r="EL659" s="2556"/>
      <c r="EM659" s="2556" t="e">
        <f t="shared" si="25"/>
        <v>#VALUE!</v>
      </c>
      <c r="EN659" s="2556"/>
      <c r="EO659" s="2556"/>
      <c r="EP659" s="2556"/>
      <c r="EQ659" s="2556"/>
      <c r="ER659" s="2556" t="e">
        <f t="shared" si="26"/>
        <v>#VALUE!</v>
      </c>
      <c r="ES659" s="2556"/>
      <c r="ET659" s="2556"/>
      <c r="EU659" s="2556"/>
      <c r="EV659" s="2556"/>
      <c r="EW659" s="2556" t="e">
        <f t="shared" si="27"/>
        <v>#VALUE!</v>
      </c>
      <c r="EX659" s="2556"/>
      <c r="EY659" s="2556"/>
      <c r="EZ659" s="2556"/>
      <c r="FA659" s="2556"/>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2384</v>
      </c>
      <c r="CU660" s="58"/>
      <c r="CV660" s="58"/>
      <c r="CW660" s="58"/>
      <c r="CX660" s="58"/>
      <c r="CY660" s="58"/>
      <c r="CZ660" s="58"/>
      <c r="DA660" s="58"/>
      <c r="DB660" s="58"/>
      <c r="DC660" s="58"/>
      <c r="DD660" s="58"/>
      <c r="DE660" s="58"/>
      <c r="DF660" s="58"/>
      <c r="DQ660" s="136" t="s">
        <v>2396</v>
      </c>
      <c r="DR660" s="2556">
        <f>SUM(CS658:DV658)</f>
        <v>0</v>
      </c>
      <c r="DS660" s="2556"/>
      <c r="DT660" s="2556"/>
      <c r="DU660" s="2556"/>
      <c r="DV660" s="2556"/>
      <c r="DX660" s="2556" t="e">
        <f t="shared" si="22"/>
        <v>#VALUE!</v>
      </c>
      <c r="DY660" s="2556"/>
      <c r="DZ660" s="2556"/>
      <c r="EA660" s="2556"/>
      <c r="EB660" s="2556"/>
      <c r="EC660" s="2556" t="e">
        <f t="shared" si="23"/>
        <v>#VALUE!</v>
      </c>
      <c r="ED660" s="2556"/>
      <c r="EE660" s="2556"/>
      <c r="EF660" s="2556"/>
      <c r="EG660" s="2556"/>
      <c r="EH660" s="2556" t="e">
        <f t="shared" si="24"/>
        <v>#VALUE!</v>
      </c>
      <c r="EI660" s="2556"/>
      <c r="EJ660" s="2556"/>
      <c r="EK660" s="2556"/>
      <c r="EL660" s="2556"/>
      <c r="EM660" s="2556" t="e">
        <f t="shared" si="25"/>
        <v>#VALUE!</v>
      </c>
      <c r="EN660" s="2556"/>
      <c r="EO660" s="2556"/>
      <c r="EP660" s="2556"/>
      <c r="EQ660" s="2556"/>
      <c r="ER660" s="2556" t="e">
        <f t="shared" si="26"/>
        <v>#VALUE!</v>
      </c>
      <c r="ES660" s="2556"/>
      <c r="ET660" s="2556"/>
      <c r="EU660" s="2556"/>
      <c r="EV660" s="2556"/>
      <c r="EW660" s="2556" t="e">
        <f t="shared" si="27"/>
        <v>#VALUE!</v>
      </c>
      <c r="EX660" s="2556"/>
      <c r="EY660" s="2556"/>
      <c r="EZ660" s="2556"/>
      <c r="FA660" s="2556"/>
    </row>
    <row r="661" spans="1:157" ht="12.75">
      <c r="A661" s="87" t="s">
        <v>124</v>
      </c>
      <c r="B661" s="12" t="s">
        <v>495</v>
      </c>
      <c r="G661" s="2042" t="str">
        <f>C639</f>
        <v>HCD AHSC Grant - HRI</v>
      </c>
      <c r="H661" s="2042"/>
      <c r="I661" s="2042"/>
      <c r="J661" s="2042"/>
      <c r="K661" s="2042"/>
      <c r="L661" s="2042"/>
      <c r="M661" s="2042"/>
      <c r="N661" s="2042"/>
      <c r="O661" s="2042"/>
      <c r="P661" s="2042"/>
      <c r="Q661" s="2042"/>
      <c r="R661" s="2042"/>
      <c r="T661" s="87" t="s">
        <v>615</v>
      </c>
      <c r="U661" s="12" t="s">
        <v>495</v>
      </c>
      <c r="Z661" s="2042" t="str">
        <f>C640</f>
        <v>City of Riverside</v>
      </c>
      <c r="AA661" s="2042"/>
      <c r="AB661" s="2042"/>
      <c r="AC661" s="2042"/>
      <c r="AD661" s="2042"/>
      <c r="AE661" s="2042"/>
      <c r="AF661" s="2042"/>
      <c r="AG661" s="2042"/>
      <c r="AH661" s="2042"/>
      <c r="AI661" s="2042"/>
      <c r="AJ661" s="2042"/>
      <c r="AK661" s="2042"/>
      <c r="AZ661" s="61"/>
      <c r="BA661" s="61"/>
      <c r="BB661" s="61"/>
      <c r="BC661" s="61"/>
      <c r="BD661" s="61"/>
      <c r="BE661" s="61"/>
      <c r="BF661" s="61"/>
      <c r="BG661" s="61"/>
      <c r="BH661" s="61"/>
      <c r="BI661" s="61"/>
      <c r="BJ661" s="61"/>
      <c r="BK661" s="61"/>
      <c r="BL661" s="61"/>
      <c r="BM661" s="61"/>
      <c r="CR661" s="177"/>
      <c r="CS661" s="1469">
        <f>BR659+BW659+CB659+CG659+CL659+CQ659</f>
        <v>0</v>
      </c>
      <c r="CT661" s="134" t="s">
        <v>1976</v>
      </c>
      <c r="CU661" s="58"/>
      <c r="CV661" s="58"/>
      <c r="CW661" s="58"/>
      <c r="CX661" s="58"/>
      <c r="CY661" s="58"/>
      <c r="CZ661" s="58"/>
      <c r="DA661" s="58"/>
      <c r="DB661" s="58"/>
      <c r="DC661" s="58"/>
      <c r="DD661" s="58"/>
      <c r="DE661" s="58"/>
      <c r="DF661" s="58"/>
      <c r="DX661" s="2556" t="e">
        <f t="shared" si="22"/>
        <v>#VALUE!</v>
      </c>
      <c r="DY661" s="2556"/>
      <c r="DZ661" s="2556"/>
      <c r="EA661" s="2556"/>
      <c r="EB661" s="2556"/>
      <c r="EC661" s="2556" t="e">
        <f t="shared" si="23"/>
        <v>#VALUE!</v>
      </c>
      <c r="ED661" s="2556"/>
      <c r="EE661" s="2556"/>
      <c r="EF661" s="2556"/>
      <c r="EG661" s="2556"/>
      <c r="EH661" s="2556" t="e">
        <f t="shared" si="24"/>
        <v>#VALUE!</v>
      </c>
      <c r="EI661" s="2556"/>
      <c r="EJ661" s="2556"/>
      <c r="EK661" s="2556"/>
      <c r="EL661" s="2556"/>
      <c r="EM661" s="2556" t="e">
        <f t="shared" si="25"/>
        <v>#VALUE!</v>
      </c>
      <c r="EN661" s="2556"/>
      <c r="EO661" s="2556"/>
      <c r="EP661" s="2556"/>
      <c r="EQ661" s="2556"/>
      <c r="ER661" s="2556" t="e">
        <f t="shared" si="26"/>
        <v>#VALUE!</v>
      </c>
      <c r="ES661" s="2556"/>
      <c r="ET661" s="2556"/>
      <c r="EU661" s="2556"/>
      <c r="EV661" s="2556"/>
      <c r="EW661" s="2556" t="e">
        <f t="shared" si="27"/>
        <v>#VALUE!</v>
      </c>
      <c r="EX661" s="2556"/>
      <c r="EY661" s="2556"/>
      <c r="EZ661" s="2556"/>
      <c r="FA661" s="2556"/>
    </row>
    <row r="662" spans="1:157" ht="12.75">
      <c r="A662" s="35"/>
      <c r="B662" s="12" t="s">
        <v>90</v>
      </c>
      <c r="G662" s="2040" t="s">
        <v>2662</v>
      </c>
      <c r="H662" s="2040"/>
      <c r="I662" s="2040"/>
      <c r="J662" s="2040"/>
      <c r="K662" s="2040"/>
      <c r="L662" s="2040"/>
      <c r="M662" s="2040"/>
      <c r="N662" s="2040"/>
      <c r="O662" s="2040"/>
      <c r="P662" s="2040"/>
      <c r="Q662" s="2040"/>
      <c r="R662" s="2040"/>
      <c r="T662" s="35"/>
      <c r="U662" s="12" t="s">
        <v>90</v>
      </c>
      <c r="Z662" s="2040" t="s">
        <v>2648</v>
      </c>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6" t="e">
        <f t="shared" si="22"/>
        <v>#VALUE!</v>
      </c>
      <c r="DY662" s="2556"/>
      <c r="DZ662" s="2556"/>
      <c r="EA662" s="2556"/>
      <c r="EB662" s="2556"/>
      <c r="EC662" s="2556" t="e">
        <f t="shared" si="23"/>
        <v>#VALUE!</v>
      </c>
      <c r="ED662" s="2556"/>
      <c r="EE662" s="2556"/>
      <c r="EF662" s="2556"/>
      <c r="EG662" s="2556"/>
      <c r="EH662" s="2556" t="e">
        <f t="shared" si="24"/>
        <v>#VALUE!</v>
      </c>
      <c r="EI662" s="2556"/>
      <c r="EJ662" s="2556"/>
      <c r="EK662" s="2556"/>
      <c r="EL662" s="2556"/>
      <c r="EM662" s="2556" t="e">
        <f t="shared" si="25"/>
        <v>#VALUE!</v>
      </c>
      <c r="EN662" s="2556"/>
      <c r="EO662" s="2556"/>
      <c r="EP662" s="2556"/>
      <c r="EQ662" s="2556"/>
      <c r="ER662" s="2556" t="e">
        <f t="shared" si="26"/>
        <v>#VALUE!</v>
      </c>
      <c r="ES662" s="2556"/>
      <c r="ET662" s="2556"/>
      <c r="EU662" s="2556"/>
      <c r="EV662" s="2556"/>
      <c r="EW662" s="2556" t="e">
        <f t="shared" si="27"/>
        <v>#VALUE!</v>
      </c>
      <c r="EX662" s="2556"/>
      <c r="EY662" s="2556"/>
      <c r="EZ662" s="2556"/>
      <c r="FA662" s="2556"/>
    </row>
    <row r="663" spans="1:157" ht="12.75">
      <c r="A663" s="35"/>
      <c r="B663" s="12" t="s">
        <v>614</v>
      </c>
      <c r="G663" s="2032" t="s">
        <v>71</v>
      </c>
      <c r="H663" s="2032"/>
      <c r="I663" s="2032"/>
      <c r="J663" s="2032"/>
      <c r="K663" s="2032"/>
      <c r="L663" s="2032"/>
      <c r="M663" s="2032"/>
      <c r="N663" s="2032"/>
      <c r="O663" s="2032"/>
      <c r="P663" s="2032"/>
      <c r="Q663" s="2032"/>
      <c r="R663" s="2032"/>
      <c r="T663" s="35"/>
      <c r="U663" s="12" t="s">
        <v>614</v>
      </c>
      <c r="Z663" s="2040" t="s">
        <v>2649</v>
      </c>
      <c r="AA663" s="2040"/>
      <c r="AB663" s="2040"/>
      <c r="AC663" s="2040"/>
      <c r="AD663" s="2040"/>
      <c r="AE663" s="2040"/>
      <c r="AF663" s="2040"/>
      <c r="AG663" s="2040"/>
      <c r="AH663" s="2040"/>
      <c r="AI663" s="2040"/>
      <c r="AJ663" s="2040"/>
      <c r="AK663" s="2040"/>
      <c r="AZ663" s="61"/>
      <c r="BA663" s="61"/>
      <c r="BB663" s="61"/>
      <c r="BC663" s="61"/>
      <c r="BD663" s="61"/>
      <c r="BE663" s="61"/>
      <c r="BF663" s="61"/>
      <c r="BG663" s="61"/>
      <c r="BH663" s="61"/>
      <c r="BI663" s="61"/>
      <c r="BJ663" s="61"/>
      <c r="BK663" s="61"/>
      <c r="BL663" s="61"/>
      <c r="BM663" s="61"/>
      <c r="BN663" s="2065">
        <f>BN635+BN644+BN658</f>
        <v>0</v>
      </c>
      <c r="BO663" s="2066"/>
      <c r="BP663" s="2066"/>
      <c r="BQ663" s="2066"/>
      <c r="BR663" s="2067"/>
      <c r="BS663" s="2065">
        <f>BS635+BS644+BS658</f>
        <v>15</v>
      </c>
      <c r="BT663" s="2066"/>
      <c r="BU663" s="2066"/>
      <c r="BV663" s="2066"/>
      <c r="BW663" s="2067"/>
      <c r="BX663" s="2065">
        <f>BX635+BX644+BX658</f>
        <v>20</v>
      </c>
      <c r="BY663" s="2066"/>
      <c r="BZ663" s="2066"/>
      <c r="CA663" s="2066"/>
      <c r="CB663" s="2067"/>
      <c r="CC663" s="2065">
        <f>CC635+CC644+CC658</f>
        <v>30</v>
      </c>
      <c r="CD663" s="2066"/>
      <c r="CE663" s="2066"/>
      <c r="CF663" s="2066"/>
      <c r="CG663" s="2067"/>
      <c r="CH663" s="2065">
        <f>CH635+CH644+CH658</f>
        <v>0</v>
      </c>
      <c r="CI663" s="2066"/>
      <c r="CJ663" s="2066"/>
      <c r="CK663" s="2066"/>
      <c r="CL663" s="2067"/>
      <c r="CM663" s="2053">
        <f>CM658+CM644+CM635</f>
        <v>0</v>
      </c>
      <c r="CN663" s="2185"/>
      <c r="CO663" s="2185"/>
      <c r="CP663" s="2185"/>
      <c r="CQ663" s="2054"/>
      <c r="CR663" s="177"/>
      <c r="CS663" s="1469">
        <f>CS637+CS661</f>
        <v>143</v>
      </c>
      <c r="CT663" s="134" t="s">
        <v>2389</v>
      </c>
      <c r="CU663" s="58"/>
      <c r="CV663" s="58"/>
      <c r="CW663" s="58"/>
      <c r="CX663" s="58"/>
      <c r="CY663" s="58"/>
      <c r="CZ663" s="58"/>
      <c r="DA663" s="58"/>
      <c r="DB663" s="58"/>
      <c r="DC663" s="58"/>
      <c r="DD663" s="58"/>
      <c r="DE663" s="58"/>
      <c r="DF663" s="58"/>
      <c r="DX663" s="2556">
        <f>SUMIF(DX638:EB662,"&gt;0")</f>
        <v>0</v>
      </c>
      <c r="DY663" s="2556"/>
      <c r="DZ663" s="2556"/>
      <c r="EA663" s="2556"/>
      <c r="EB663" s="2556"/>
      <c r="EC663" s="2556">
        <f>SUMIF(EC638:EG662,"&gt;0")</f>
        <v>581.06666666666661</v>
      </c>
      <c r="ED663" s="2556"/>
      <c r="EE663" s="2556"/>
      <c r="EF663" s="2556"/>
      <c r="EG663" s="2556"/>
      <c r="EH663" s="2556">
        <f>SUMIF(EH638:EL662,"&gt;0")</f>
        <v>715.31578947368416</v>
      </c>
      <c r="EI663" s="2556"/>
      <c r="EJ663" s="2556"/>
      <c r="EK663" s="2556"/>
      <c r="EL663" s="2556"/>
      <c r="EM663" s="2556">
        <f>SUMIF(EM638:EQ662,"&gt;0")</f>
        <v>931.7</v>
      </c>
      <c r="EN663" s="2556"/>
      <c r="EO663" s="2556"/>
      <c r="EP663" s="2556"/>
      <c r="EQ663" s="2556"/>
      <c r="ER663" s="2556">
        <f>SUMIF(ER638:EV662,"&gt;0")</f>
        <v>0</v>
      </c>
      <c r="ES663" s="2556"/>
      <c r="ET663" s="2556"/>
      <c r="EU663" s="2556"/>
      <c r="EV663" s="2556"/>
      <c r="EW663" s="2556">
        <f>SUMIF(EW638:FA662,"&gt;0")</f>
        <v>0</v>
      </c>
      <c r="EX663" s="2556"/>
      <c r="EY663" s="2556"/>
      <c r="EZ663" s="2556"/>
      <c r="FA663" s="2556"/>
    </row>
    <row r="664" spans="1:157" ht="12.75">
      <c r="A664" s="35"/>
      <c r="B664" s="12" t="s">
        <v>17</v>
      </c>
      <c r="G664" s="2032" t="s">
        <v>2644</v>
      </c>
      <c r="H664" s="2032"/>
      <c r="I664" s="2032"/>
      <c r="J664" s="2032"/>
      <c r="K664" s="2032"/>
      <c r="L664" s="2032"/>
      <c r="M664" s="2032"/>
      <c r="N664" s="2032"/>
      <c r="O664" s="2032"/>
      <c r="P664" s="2032"/>
      <c r="Q664" s="2032"/>
      <c r="R664" s="2032"/>
      <c r="T664" s="35"/>
      <c r="U664" s="12" t="s">
        <v>17</v>
      </c>
      <c r="Z664" s="2040" t="s">
        <v>2650</v>
      </c>
      <c r="AA664" s="2040"/>
      <c r="AB664" s="2040"/>
      <c r="AC664" s="2040"/>
      <c r="AD664" s="2040"/>
      <c r="AE664" s="2040"/>
      <c r="AF664" s="2040"/>
      <c r="AG664" s="2040"/>
      <c r="AH664" s="2040"/>
      <c r="AI664" s="2040"/>
      <c r="AJ664" s="2040"/>
      <c r="AK664" s="204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324</v>
      </c>
      <c r="G665" s="2044" t="s">
        <v>2645</v>
      </c>
      <c r="H665" s="2056"/>
      <c r="I665" s="2056"/>
      <c r="J665" s="2056"/>
      <c r="K665" s="2056"/>
      <c r="L665" s="2056"/>
      <c r="O665" s="137" t="s">
        <v>211</v>
      </c>
      <c r="P665" s="2045"/>
      <c r="Q665" s="2045"/>
      <c r="R665" s="2045"/>
      <c r="T665" s="35"/>
      <c r="U665" s="12" t="s">
        <v>324</v>
      </c>
      <c r="Z665" s="2044" t="s">
        <v>2651</v>
      </c>
      <c r="AA665" s="2044"/>
      <c r="AB665" s="2044"/>
      <c r="AC665" s="2044"/>
      <c r="AD665" s="2044"/>
      <c r="AE665" s="2044"/>
      <c r="AH665" s="137" t="s">
        <v>211</v>
      </c>
      <c r="AI665" s="2045"/>
      <c r="AJ665" s="2045"/>
      <c r="AK665" s="204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40" t="s">
        <v>2646</v>
      </c>
      <c r="I666" s="2040"/>
      <c r="J666" s="2040"/>
      <c r="K666" s="2040"/>
      <c r="L666" s="2040"/>
      <c r="M666" s="2040"/>
      <c r="N666" s="2040"/>
      <c r="O666" s="2040"/>
      <c r="P666" s="2040"/>
      <c r="Q666" s="2040"/>
      <c r="R666" s="2040"/>
      <c r="T666" s="35"/>
      <c r="U666" s="12" t="s">
        <v>18</v>
      </c>
      <c r="AA666" s="2040" t="s">
        <v>2647</v>
      </c>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5" t="s">
        <v>2486</v>
      </c>
      <c r="BQ666" s="306"/>
      <c r="BR666" s="306"/>
      <c r="BS666" s="306"/>
      <c r="BT666" s="306"/>
      <c r="BU666" s="306"/>
      <c r="BV666" s="306"/>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55" t="s">
        <v>577</v>
      </c>
      <c r="O667" s="2055"/>
      <c r="T667" s="35"/>
      <c r="U667" s="12" t="s">
        <v>20</v>
      </c>
      <c r="AG667" s="2055" t="s">
        <v>577</v>
      </c>
      <c r="AH667" s="2055"/>
      <c r="AZ667" s="58"/>
      <c r="BA667" s="58"/>
      <c r="BB667" s="58"/>
      <c r="BC667" s="58"/>
      <c r="BD667" s="58"/>
      <c r="BE667" s="58"/>
      <c r="BF667" s="58"/>
      <c r="BG667" s="58"/>
      <c r="BH667" s="58"/>
      <c r="BI667" s="58"/>
      <c r="BJ667" s="58"/>
      <c r="BK667" s="58"/>
      <c r="BL667" s="58"/>
      <c r="BM667" s="58"/>
      <c r="BN667" s="58"/>
      <c r="BO667" s="58"/>
      <c r="BP667" s="447" t="s">
        <v>682</v>
      </c>
      <c r="BQ667" s="306"/>
      <c r="BR667" s="306"/>
      <c r="BS667" s="306"/>
      <c r="BT667" s="306"/>
      <c r="BU667" s="306"/>
      <c r="BV667" s="306"/>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7"/>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42" t="str">
        <f>C641</f>
        <v>CDLAC Performance Deposit Refund</v>
      </c>
      <c r="H669" s="2042"/>
      <c r="I669" s="2042"/>
      <c r="J669" s="2042"/>
      <c r="K669" s="2042"/>
      <c r="L669" s="2042"/>
      <c r="M669" s="2042"/>
      <c r="N669" s="2042"/>
      <c r="O669" s="2042"/>
      <c r="P669" s="2042"/>
      <c r="Q669" s="2042"/>
      <c r="R669" s="2042"/>
      <c r="T669" s="87" t="s">
        <v>618</v>
      </c>
      <c r="U669" s="12" t="s">
        <v>495</v>
      </c>
      <c r="Z669" s="2042" t="str">
        <f>C642</f>
        <v>GP Capital Contribution</v>
      </c>
      <c r="AA669" s="2042"/>
      <c r="AB669" s="2042"/>
      <c r="AC669" s="2042"/>
      <c r="AD669" s="2042"/>
      <c r="AE669" s="2042"/>
      <c r="AF669" s="2042"/>
      <c r="AG669" s="2042"/>
      <c r="AH669" s="2042"/>
      <c r="AI669" s="2042"/>
      <c r="AJ669" s="2042"/>
      <c r="AK669" s="2042"/>
      <c r="AZ669" s="58"/>
      <c r="BA669" s="309" t="s">
        <v>684</v>
      </c>
      <c r="BB669" s="58"/>
      <c r="BC669" s="58"/>
      <c r="BD669" s="58"/>
      <c r="BE669" s="58"/>
      <c r="BF669" s="381"/>
      <c r="BG669" s="333" t="s">
        <v>963</v>
      </c>
      <c r="BH669" s="381"/>
      <c r="BI669" s="381"/>
      <c r="BJ669" s="58"/>
      <c r="BK669" s="58"/>
      <c r="BL669" s="58"/>
      <c r="BM669" s="58"/>
      <c r="BN669" s="58"/>
      <c r="BO669" s="58"/>
      <c r="BP669" s="538" t="s">
        <v>683</v>
      </c>
      <c r="BQ669" s="539" t="s">
        <v>332</v>
      </c>
      <c r="BR669" s="539" t="s">
        <v>333</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0" t="s">
        <v>2652</v>
      </c>
      <c r="H670" s="2040"/>
      <c r="I670" s="2040"/>
      <c r="J670" s="2040"/>
      <c r="K670" s="2040"/>
      <c r="L670" s="2040"/>
      <c r="M670" s="2040"/>
      <c r="N670" s="2040"/>
      <c r="O670" s="2040"/>
      <c r="P670" s="2040"/>
      <c r="Q670" s="2040"/>
      <c r="R670" s="2040"/>
      <c r="T670" s="35"/>
      <c r="U670" s="12" t="s">
        <v>90</v>
      </c>
      <c r="Z670" s="2040" t="s">
        <v>2652</v>
      </c>
      <c r="AA670" s="2040"/>
      <c r="AB670" s="2040"/>
      <c r="AC670" s="2040"/>
      <c r="AD670" s="2040"/>
      <c r="AE670" s="2040"/>
      <c r="AF670" s="2040"/>
      <c r="AG670" s="2040"/>
      <c r="AH670" s="2040"/>
      <c r="AI670" s="2040"/>
      <c r="AJ670" s="2040"/>
      <c r="AK670" s="2040"/>
      <c r="AZ670" s="58"/>
      <c r="BA670" s="445">
        <f t="shared" ref="BA670:BA694" si="40">IF($G728=0,"N/A",VLOOKUP($T$189,TC_Rent,(MATCH($B728,bedrooms,FALSE))))</f>
        <v>1480</v>
      </c>
      <c r="BB670" s="58"/>
      <c r="BC670" s="58"/>
      <c r="BD670" s="58"/>
      <c r="BE670" s="58"/>
      <c r="BF670" s="381"/>
      <c r="BG670" s="453" t="s">
        <v>964</v>
      </c>
      <c r="BH670" s="458" t="s">
        <v>965</v>
      </c>
      <c r="BI670" s="457" t="s">
        <v>966</v>
      </c>
      <c r="BJ670" s="58"/>
      <c r="BK670" s="58"/>
      <c r="BL670" s="58"/>
      <c r="BM670" s="58"/>
      <c r="BN670" s="58"/>
      <c r="BO670" s="58"/>
      <c r="BP670" s="540" t="s">
        <v>508</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0" t="s">
        <v>2653</v>
      </c>
      <c r="H671" s="2040"/>
      <c r="I671" s="2040"/>
      <c r="J671" s="2040"/>
      <c r="K671" s="2040"/>
      <c r="L671" s="2040"/>
      <c r="M671" s="2040"/>
      <c r="N671" s="2040"/>
      <c r="O671" s="2040"/>
      <c r="P671" s="2040"/>
      <c r="Q671" s="2040"/>
      <c r="R671" s="2040"/>
      <c r="T671" s="35"/>
      <c r="U671" s="12" t="s">
        <v>614</v>
      </c>
      <c r="Z671" s="2040" t="s">
        <v>2653</v>
      </c>
      <c r="AA671" s="2040"/>
      <c r="AB671" s="2040"/>
      <c r="AC671" s="2040"/>
      <c r="AD671" s="2040"/>
      <c r="AE671" s="2040"/>
      <c r="AF671" s="2040"/>
      <c r="AG671" s="2040"/>
      <c r="AH671" s="2040"/>
      <c r="AI671" s="2040"/>
      <c r="AJ671" s="2040"/>
      <c r="AK671" s="2040"/>
      <c r="AZ671" s="58"/>
      <c r="BA671" s="445">
        <f t="shared" si="40"/>
        <v>1776</v>
      </c>
      <c r="BB671" s="58"/>
      <c r="BC671" s="58"/>
      <c r="BD671" s="58"/>
      <c r="BE671" s="58"/>
      <c r="BF671" s="381"/>
      <c r="BG671" s="455">
        <f t="shared" ref="BG671:BG695" si="41">G728</f>
        <v>5</v>
      </c>
      <c r="BH671" s="459">
        <f>BG671/$BG$696</f>
        <v>7.8125E-2</v>
      </c>
      <c r="BI671" s="460">
        <f t="shared" ref="BI671:BI695" si="42">IF(BH671=0," ",BH671*AH728)</f>
        <v>2.34375E-2</v>
      </c>
      <c r="BJ671" s="58"/>
      <c r="BK671" s="58"/>
      <c r="BL671" s="58"/>
      <c r="BM671" s="58"/>
      <c r="BN671" s="58"/>
      <c r="BO671" s="58"/>
      <c r="BP671" s="541" t="s">
        <v>509</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0" t="s">
        <v>2531</v>
      </c>
      <c r="H672" s="2040"/>
      <c r="I672" s="2040"/>
      <c r="J672" s="2040"/>
      <c r="K672" s="2040"/>
      <c r="L672" s="2040"/>
      <c r="M672" s="2040"/>
      <c r="N672" s="2040"/>
      <c r="O672" s="2040"/>
      <c r="P672" s="2040"/>
      <c r="Q672" s="2040"/>
      <c r="R672" s="2040"/>
      <c r="T672" s="35"/>
      <c r="U672" s="12" t="s">
        <v>17</v>
      </c>
      <c r="Z672" s="2040" t="s">
        <v>2531</v>
      </c>
      <c r="AA672" s="2040"/>
      <c r="AB672" s="2040"/>
      <c r="AC672" s="2040"/>
      <c r="AD672" s="2040"/>
      <c r="AE672" s="2040"/>
      <c r="AF672" s="2040"/>
      <c r="AG672" s="2040"/>
      <c r="AH672" s="2040"/>
      <c r="AI672" s="2040"/>
      <c r="AJ672" s="2040"/>
      <c r="AK672" s="2040"/>
      <c r="AZ672" s="58"/>
      <c r="BA672" s="445">
        <f t="shared" si="40"/>
        <v>2054</v>
      </c>
      <c r="BB672" s="58"/>
      <c r="BC672" s="58"/>
      <c r="BD672" s="58"/>
      <c r="BE672" s="58"/>
      <c r="BF672" s="381"/>
      <c r="BG672" s="456">
        <f t="shared" si="41"/>
        <v>5</v>
      </c>
      <c r="BH672" s="459">
        <f t="shared" ref="BH672:BH695" si="43">BG672/$BG$696</f>
        <v>7.8125E-2</v>
      </c>
      <c r="BI672" s="460">
        <f t="shared" si="42"/>
        <v>2.34375E-2</v>
      </c>
      <c r="BJ672" s="58"/>
      <c r="BK672" s="58"/>
      <c r="BL672" s="58"/>
      <c r="BM672" s="58"/>
      <c r="BN672" s="58"/>
      <c r="BO672" s="58"/>
      <c r="BP672" s="541" t="s">
        <v>510</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044" t="s">
        <v>2654</v>
      </c>
      <c r="H673" s="2056"/>
      <c r="I673" s="2056"/>
      <c r="J673" s="2056"/>
      <c r="K673" s="2056"/>
      <c r="L673" s="2056"/>
      <c r="O673" s="137" t="s">
        <v>211</v>
      </c>
      <c r="P673" s="2045"/>
      <c r="Q673" s="2045"/>
      <c r="R673" s="2045"/>
      <c r="T673" s="35"/>
      <c r="U673" s="12" t="s">
        <v>324</v>
      </c>
      <c r="Z673" s="2044" t="s">
        <v>2654</v>
      </c>
      <c r="AA673" s="2056"/>
      <c r="AB673" s="2056"/>
      <c r="AC673" s="2056"/>
      <c r="AD673" s="2056"/>
      <c r="AE673" s="2056"/>
      <c r="AH673" s="137" t="s">
        <v>211</v>
      </c>
      <c r="AI673" s="2045"/>
      <c r="AJ673" s="2045"/>
      <c r="AK673" s="2045"/>
      <c r="AZ673" s="58"/>
      <c r="BA673" s="445">
        <f t="shared" si="40"/>
        <v>1480</v>
      </c>
      <c r="BB673" s="58"/>
      <c r="BC673" s="58"/>
      <c r="BD673" s="58"/>
      <c r="BE673" s="58"/>
      <c r="BF673" s="381"/>
      <c r="BG673" s="456">
        <f t="shared" si="41"/>
        <v>3</v>
      </c>
      <c r="BH673" s="459">
        <f t="shared" si="43"/>
        <v>4.6875E-2</v>
      </c>
      <c r="BI673" s="460">
        <f t="shared" si="42"/>
        <v>1.4062499999999999E-2</v>
      </c>
      <c r="BJ673" s="58"/>
      <c r="BK673" s="58"/>
      <c r="BL673" s="58"/>
      <c r="BM673" s="58"/>
      <c r="BN673" s="58"/>
      <c r="BO673" s="58"/>
      <c r="BP673" s="541" t="s">
        <v>511</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0" t="s">
        <v>2655</v>
      </c>
      <c r="I674" s="2040"/>
      <c r="J674" s="2040"/>
      <c r="K674" s="2040"/>
      <c r="L674" s="2040"/>
      <c r="M674" s="2040"/>
      <c r="N674" s="2040"/>
      <c r="O674" s="2040"/>
      <c r="P674" s="2040"/>
      <c r="Q674" s="2040"/>
      <c r="R674" s="2040"/>
      <c r="T674" s="35"/>
      <c r="U674" s="12" t="s">
        <v>18</v>
      </c>
      <c r="AA674" s="2040" t="s">
        <v>2663</v>
      </c>
      <c r="AB674" s="2040"/>
      <c r="AC674" s="2040"/>
      <c r="AD674" s="2040"/>
      <c r="AE674" s="2040"/>
      <c r="AF674" s="2040"/>
      <c r="AG674" s="2040"/>
      <c r="AH674" s="2040"/>
      <c r="AI674" s="2040"/>
      <c r="AJ674" s="2040"/>
      <c r="AK674" s="2040"/>
      <c r="AZ674" s="58"/>
      <c r="BA674" s="445">
        <f t="shared" si="40"/>
        <v>1776</v>
      </c>
      <c r="BB674" s="58"/>
      <c r="BC674" s="58"/>
      <c r="BD674" s="58"/>
      <c r="BE674" s="58"/>
      <c r="BF674" s="381"/>
      <c r="BG674" s="456">
        <f t="shared" si="41"/>
        <v>3</v>
      </c>
      <c r="BH674" s="459">
        <f t="shared" si="43"/>
        <v>4.6875E-2</v>
      </c>
      <c r="BI674" s="460">
        <f t="shared" si="42"/>
        <v>2.34375E-2</v>
      </c>
      <c r="BJ674" s="58"/>
      <c r="BK674" s="58"/>
      <c r="BL674" s="58"/>
      <c r="BM674" s="58"/>
      <c r="BN674" s="58"/>
      <c r="BO674" s="58"/>
      <c r="BP674" s="541" t="s">
        <v>512</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5" t="s">
        <v>577</v>
      </c>
      <c r="O675" s="2055"/>
      <c r="T675" s="35"/>
      <c r="U675" s="12" t="s">
        <v>20</v>
      </c>
      <c r="AG675" s="2055" t="s">
        <v>577</v>
      </c>
      <c r="AH675" s="2055"/>
      <c r="AZ675" s="58"/>
      <c r="BA675" s="445">
        <f t="shared" si="40"/>
        <v>2054</v>
      </c>
      <c r="BB675" s="58"/>
      <c r="BC675" s="58"/>
      <c r="BD675" s="58"/>
      <c r="BE675" s="58"/>
      <c r="BF675" s="381"/>
      <c r="BG675" s="456">
        <f t="shared" si="41"/>
        <v>12</v>
      </c>
      <c r="BH675" s="459">
        <f t="shared" si="43"/>
        <v>0.1875</v>
      </c>
      <c r="BI675" s="460">
        <f t="shared" si="42"/>
        <v>9.375E-2</v>
      </c>
      <c r="BJ675" s="58"/>
      <c r="BK675" s="58"/>
      <c r="BL675" s="58"/>
      <c r="BM675" s="58"/>
      <c r="BN675" s="58"/>
      <c r="BO675" s="58"/>
      <c r="BP675" s="541" t="s">
        <v>513</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f t="shared" si="40"/>
        <v>1480</v>
      </c>
      <c r="BB676" s="58"/>
      <c r="BC676" s="58"/>
      <c r="BD676" s="58"/>
      <c r="BE676" s="58"/>
      <c r="BF676" s="381"/>
      <c r="BG676" s="456">
        <f t="shared" si="41"/>
        <v>18</v>
      </c>
      <c r="BH676" s="459">
        <f t="shared" si="43"/>
        <v>0.28125</v>
      </c>
      <c r="BI676" s="460">
        <f t="shared" si="42"/>
        <v>0.140625</v>
      </c>
      <c r="BJ676" s="58"/>
      <c r="BK676" s="58"/>
      <c r="BL676" s="58"/>
      <c r="BM676" s="58"/>
      <c r="BN676" s="58"/>
      <c r="BO676" s="58"/>
      <c r="BP676" s="541" t="s">
        <v>514</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42">
        <f>C643</f>
        <v>0</v>
      </c>
      <c r="H677" s="2042"/>
      <c r="I677" s="2042"/>
      <c r="J677" s="2042"/>
      <c r="K677" s="2042"/>
      <c r="L677" s="2042"/>
      <c r="M677" s="2042"/>
      <c r="N677" s="2042"/>
      <c r="O677" s="2042"/>
      <c r="P677" s="2042"/>
      <c r="Q677" s="2042"/>
      <c r="R677" s="2042"/>
      <c r="T677" s="87" t="s">
        <v>487</v>
      </c>
      <c r="U677" s="12" t="s">
        <v>495</v>
      </c>
      <c r="Z677" s="2042">
        <f>C644</f>
        <v>0</v>
      </c>
      <c r="AA677" s="2042"/>
      <c r="AB677" s="2042"/>
      <c r="AC677" s="2042"/>
      <c r="AD677" s="2042"/>
      <c r="AE677" s="2042"/>
      <c r="AF677" s="2042"/>
      <c r="AG677" s="2042"/>
      <c r="AH677" s="2042"/>
      <c r="AI677" s="2042"/>
      <c r="AJ677" s="2042"/>
      <c r="AK677" s="2042"/>
      <c r="AZ677" s="58"/>
      <c r="BA677" s="445">
        <f t="shared" si="40"/>
        <v>1776</v>
      </c>
      <c r="BB677" s="58"/>
      <c r="BC677" s="58"/>
      <c r="BD677" s="58"/>
      <c r="BE677" s="58"/>
      <c r="BF677" s="381"/>
      <c r="BG677" s="456">
        <f t="shared" si="41"/>
        <v>2</v>
      </c>
      <c r="BH677" s="459">
        <f t="shared" si="43"/>
        <v>3.125E-2</v>
      </c>
      <c r="BI677" s="460">
        <f t="shared" si="42"/>
        <v>1.8749999999999999E-2</v>
      </c>
      <c r="BJ677" s="58"/>
      <c r="BK677" s="58"/>
      <c r="BL677" s="58"/>
      <c r="BM677" s="58"/>
      <c r="BN677" s="58"/>
      <c r="BO677" s="58"/>
      <c r="BP677" s="541" t="s">
        <v>515</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5">
        <f t="shared" si="40"/>
        <v>2054</v>
      </c>
      <c r="BB678" s="58"/>
      <c r="BC678" s="58"/>
      <c r="BD678" s="58"/>
      <c r="BE678" s="58"/>
      <c r="BF678" s="381"/>
      <c r="BG678" s="456">
        <f t="shared" si="41"/>
        <v>2</v>
      </c>
      <c r="BH678" s="459">
        <f t="shared" si="43"/>
        <v>3.125E-2</v>
      </c>
      <c r="BI678" s="460">
        <f t="shared" si="42"/>
        <v>1.8749999999999999E-2</v>
      </c>
      <c r="BJ678" s="58"/>
      <c r="BK678" s="58"/>
      <c r="BL678" s="58"/>
      <c r="BM678" s="58"/>
      <c r="BN678" s="58"/>
      <c r="BO678" s="58"/>
      <c r="BP678" s="541" t="s">
        <v>516</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0"/>
      <c r="H679" s="2040"/>
      <c r="I679" s="2040"/>
      <c r="J679" s="2040"/>
      <c r="K679" s="2040"/>
      <c r="L679" s="2040"/>
      <c r="M679" s="2040"/>
      <c r="N679" s="2040"/>
      <c r="O679" s="2040"/>
      <c r="P679" s="2040"/>
      <c r="Q679" s="2040"/>
      <c r="R679" s="2040"/>
      <c r="T679" s="35"/>
      <c r="U679" s="12" t="s">
        <v>614</v>
      </c>
      <c r="Z679" s="2032"/>
      <c r="AA679" s="2032"/>
      <c r="AB679" s="2032"/>
      <c r="AC679" s="2032"/>
      <c r="AD679" s="2032"/>
      <c r="AE679" s="2032"/>
      <c r="AF679" s="2032"/>
      <c r="AG679" s="2032"/>
      <c r="AH679" s="2032"/>
      <c r="AI679" s="2032"/>
      <c r="AJ679" s="2032"/>
      <c r="AK679" s="2032"/>
      <c r="AZ679" s="58"/>
      <c r="BA679" s="445">
        <f t="shared" si="40"/>
        <v>1480</v>
      </c>
      <c r="BB679" s="58"/>
      <c r="BC679" s="58"/>
      <c r="BD679" s="58"/>
      <c r="BE679" s="58"/>
      <c r="BF679" s="381"/>
      <c r="BG679" s="456">
        <f t="shared" si="41"/>
        <v>9</v>
      </c>
      <c r="BH679" s="459">
        <f t="shared" si="43"/>
        <v>0.140625</v>
      </c>
      <c r="BI679" s="460">
        <f t="shared" si="42"/>
        <v>8.4374999999999992E-2</v>
      </c>
      <c r="BJ679" s="58"/>
      <c r="BK679" s="58"/>
      <c r="BL679" s="58"/>
      <c r="BM679" s="58"/>
      <c r="BN679" s="58"/>
      <c r="BO679" s="58"/>
      <c r="BP679" s="541" t="s">
        <v>517</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0"/>
      <c r="H680" s="2040"/>
      <c r="I680" s="2040"/>
      <c r="J680" s="2040"/>
      <c r="K680" s="2040"/>
      <c r="L680" s="2040"/>
      <c r="M680" s="2040"/>
      <c r="N680" s="2040"/>
      <c r="O680" s="2040"/>
      <c r="P680" s="2040"/>
      <c r="Q680" s="2040"/>
      <c r="R680" s="2040"/>
      <c r="T680" s="35"/>
      <c r="U680" s="12" t="s">
        <v>17</v>
      </c>
      <c r="Z680" s="2032"/>
      <c r="AA680" s="2032"/>
      <c r="AB680" s="2032"/>
      <c r="AC680" s="2032"/>
      <c r="AD680" s="2032"/>
      <c r="AE680" s="2032"/>
      <c r="AF680" s="2032"/>
      <c r="AG680" s="2032"/>
      <c r="AH680" s="2032"/>
      <c r="AI680" s="2032"/>
      <c r="AJ680" s="2032"/>
      <c r="AK680" s="2032"/>
      <c r="AZ680" s="58"/>
      <c r="BA680" s="445" t="str">
        <f t="shared" si="40"/>
        <v>N/A</v>
      </c>
      <c r="BB680" s="58"/>
      <c r="BC680" s="58"/>
      <c r="BD680" s="58"/>
      <c r="BE680" s="58"/>
      <c r="BF680" s="381"/>
      <c r="BG680" s="456">
        <f t="shared" si="41"/>
        <v>5</v>
      </c>
      <c r="BH680" s="459">
        <f t="shared" si="43"/>
        <v>7.8125E-2</v>
      </c>
      <c r="BI680" s="460">
        <f t="shared" si="42"/>
        <v>3.90625E-2</v>
      </c>
      <c r="BJ680" s="58"/>
      <c r="BK680" s="58"/>
      <c r="BL680" s="58"/>
      <c r="BM680" s="58"/>
      <c r="BN680" s="58"/>
      <c r="BO680" s="58"/>
      <c r="BP680" s="541" t="s">
        <v>518</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44"/>
      <c r="H681" s="2044"/>
      <c r="I681" s="2044"/>
      <c r="J681" s="2044"/>
      <c r="K681" s="2044"/>
      <c r="L681" s="2044"/>
      <c r="O681" s="137" t="s">
        <v>211</v>
      </c>
      <c r="P681" s="2045"/>
      <c r="Q681" s="2045"/>
      <c r="R681" s="2045"/>
      <c r="T681" s="35"/>
      <c r="U681" s="12" t="s">
        <v>324</v>
      </c>
      <c r="Z681" s="2056"/>
      <c r="AA681" s="2056"/>
      <c r="AB681" s="2056"/>
      <c r="AC681" s="2056"/>
      <c r="AD681" s="2056"/>
      <c r="AE681" s="2056"/>
      <c r="AH681" s="137" t="s">
        <v>211</v>
      </c>
      <c r="AI681" s="2045"/>
      <c r="AJ681" s="2045"/>
      <c r="AK681" s="2045"/>
      <c r="AZ681" s="58"/>
      <c r="BA681" s="445" t="str">
        <f t="shared" si="40"/>
        <v>N/A</v>
      </c>
      <c r="BB681" s="58"/>
      <c r="BC681" s="58"/>
      <c r="BD681" s="58"/>
      <c r="BE681" s="58"/>
      <c r="BF681" s="381"/>
      <c r="BG681" s="456">
        <f t="shared" si="41"/>
        <v>0</v>
      </c>
      <c r="BH681" s="459">
        <f t="shared" si="43"/>
        <v>0</v>
      </c>
      <c r="BI681" s="460" t="str">
        <f t="shared" si="42"/>
        <v xml:space="preserve"> </v>
      </c>
      <c r="BJ681" s="58"/>
      <c r="BK681" s="58"/>
      <c r="BL681" s="58"/>
      <c r="BM681" s="58"/>
      <c r="BN681" s="58"/>
      <c r="BO681" s="58"/>
      <c r="BP681" s="541" t="s">
        <v>519</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5" t="str">
        <f t="shared" si="40"/>
        <v>N/A</v>
      </c>
      <c r="BB682" s="58"/>
      <c r="BC682" s="58"/>
      <c r="BD682" s="58"/>
      <c r="BE682" s="58"/>
      <c r="BF682" s="381"/>
      <c r="BG682" s="456">
        <f t="shared" si="41"/>
        <v>0</v>
      </c>
      <c r="BH682" s="459">
        <f t="shared" si="43"/>
        <v>0</v>
      </c>
      <c r="BI682" s="460" t="str">
        <f t="shared" si="42"/>
        <v xml:space="preserve"> </v>
      </c>
      <c r="BJ682" s="58"/>
      <c r="BK682" s="58"/>
      <c r="BL682" s="58"/>
      <c r="BM682" s="58"/>
      <c r="BN682" s="58"/>
      <c r="BO682" s="58"/>
      <c r="BP682" s="541" t="s">
        <v>520</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5"/>
      <c r="O683" s="2055"/>
      <c r="T683" s="35"/>
      <c r="U683" s="12" t="s">
        <v>20</v>
      </c>
      <c r="AG683" s="2055" t="s">
        <v>705</v>
      </c>
      <c r="AH683" s="2055"/>
      <c r="AZ683" s="58"/>
      <c r="BA683" s="445" t="str">
        <f t="shared" si="40"/>
        <v>N/A</v>
      </c>
      <c r="BB683" s="58"/>
      <c r="BC683" s="58"/>
      <c r="BD683" s="58"/>
      <c r="BE683" s="58"/>
      <c r="BF683" s="381"/>
      <c r="BG683" s="456">
        <f t="shared" si="41"/>
        <v>0</v>
      </c>
      <c r="BH683" s="459">
        <f t="shared" si="43"/>
        <v>0</v>
      </c>
      <c r="BI683" s="460" t="str">
        <f t="shared" si="42"/>
        <v xml:space="preserve"> </v>
      </c>
      <c r="BJ683" s="58"/>
      <c r="BK683" s="58"/>
      <c r="BL683" s="58"/>
      <c r="BM683" s="58"/>
      <c r="BN683" s="58"/>
      <c r="BO683" s="58"/>
      <c r="BP683" s="541" t="s">
        <v>521</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1"/>
      <c r="BG684" s="456">
        <f t="shared" si="41"/>
        <v>0</v>
      </c>
      <c r="BH684" s="459">
        <f t="shared" si="43"/>
        <v>0</v>
      </c>
      <c r="BI684" s="460" t="str">
        <f t="shared" si="42"/>
        <v xml:space="preserve"> </v>
      </c>
      <c r="BJ684" s="58"/>
      <c r="BK684" s="58"/>
      <c r="BL684" s="58"/>
      <c r="BM684" s="58"/>
      <c r="BN684" s="58"/>
      <c r="BO684" s="58"/>
      <c r="BP684" s="541" t="s">
        <v>522</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42">
        <f>C645</f>
        <v>0</v>
      </c>
      <c r="H685" s="2042"/>
      <c r="I685" s="2042"/>
      <c r="J685" s="2042"/>
      <c r="K685" s="2042"/>
      <c r="L685" s="2042"/>
      <c r="M685" s="2042"/>
      <c r="N685" s="2042"/>
      <c r="O685" s="2042"/>
      <c r="P685" s="2042"/>
      <c r="Q685" s="2042"/>
      <c r="R685" s="2042"/>
      <c r="T685" s="87" t="s">
        <v>680</v>
      </c>
      <c r="U685" s="12" t="s">
        <v>495</v>
      </c>
      <c r="Z685" s="2042">
        <f>C646</f>
        <v>0</v>
      </c>
      <c r="AA685" s="2042"/>
      <c r="AB685" s="2042"/>
      <c r="AC685" s="2042"/>
      <c r="AD685" s="2042"/>
      <c r="AE685" s="2042"/>
      <c r="AF685" s="2042"/>
      <c r="AG685" s="2042"/>
      <c r="AH685" s="2042"/>
      <c r="AI685" s="2042"/>
      <c r="AJ685" s="2042"/>
      <c r="AK685" s="2042"/>
      <c r="AZ685" s="58"/>
      <c r="BA685" s="445" t="str">
        <f t="shared" si="40"/>
        <v>N/A</v>
      </c>
      <c r="BB685" s="58"/>
      <c r="BC685" s="58"/>
      <c r="BD685" s="58"/>
      <c r="BE685" s="58"/>
      <c r="BF685" s="381"/>
      <c r="BG685" s="456">
        <f t="shared" si="41"/>
        <v>0</v>
      </c>
      <c r="BH685" s="459">
        <f t="shared" si="43"/>
        <v>0</v>
      </c>
      <c r="BI685" s="460" t="str">
        <f t="shared" si="42"/>
        <v xml:space="preserve"> </v>
      </c>
      <c r="BJ685" s="58"/>
      <c r="BK685" s="58"/>
      <c r="BL685" s="58"/>
      <c r="BM685" s="58"/>
      <c r="BN685" s="58"/>
      <c r="BO685" s="58"/>
      <c r="BP685" s="541" t="s">
        <v>523</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5" t="str">
        <f t="shared" si="40"/>
        <v>N/A</v>
      </c>
      <c r="BB686" s="58"/>
      <c r="BC686" s="58"/>
      <c r="BD686" s="58"/>
      <c r="BE686" s="58"/>
      <c r="BF686" s="381"/>
      <c r="BG686" s="456">
        <f t="shared" si="41"/>
        <v>0</v>
      </c>
      <c r="BH686" s="459">
        <f t="shared" si="43"/>
        <v>0</v>
      </c>
      <c r="BI686" s="460" t="str">
        <f t="shared" si="42"/>
        <v xml:space="preserve"> </v>
      </c>
      <c r="BJ686" s="58"/>
      <c r="BK686" s="58"/>
      <c r="BL686" s="58"/>
      <c r="BM686" s="58"/>
      <c r="BN686" s="58"/>
      <c r="BO686" s="58"/>
      <c r="BP686" s="541" t="s">
        <v>524</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0"/>
      <c r="H687" s="2040"/>
      <c r="I687" s="2040"/>
      <c r="J687" s="2040"/>
      <c r="K687" s="2040"/>
      <c r="L687" s="2040"/>
      <c r="M687" s="2040"/>
      <c r="N687" s="2040"/>
      <c r="O687" s="2040"/>
      <c r="P687" s="2040"/>
      <c r="Q687" s="2040"/>
      <c r="R687" s="2040"/>
      <c r="T687" s="35"/>
      <c r="U687" s="12" t="s">
        <v>614</v>
      </c>
      <c r="Z687" s="2032"/>
      <c r="AA687" s="2032"/>
      <c r="AB687" s="2032"/>
      <c r="AC687" s="2032"/>
      <c r="AD687" s="2032"/>
      <c r="AE687" s="2032"/>
      <c r="AF687" s="2032"/>
      <c r="AG687" s="2032"/>
      <c r="AH687" s="2032"/>
      <c r="AI687" s="2032"/>
      <c r="AJ687" s="2032"/>
      <c r="AK687" s="2032"/>
      <c r="AZ687" s="58"/>
      <c r="BA687" s="445" t="str">
        <f t="shared" si="40"/>
        <v>N/A</v>
      </c>
      <c r="BB687" s="58"/>
      <c r="BC687" s="58"/>
      <c r="BD687" s="58"/>
      <c r="BE687" s="58"/>
      <c r="BF687" s="381"/>
      <c r="BG687" s="456">
        <f t="shared" si="41"/>
        <v>0</v>
      </c>
      <c r="BH687" s="459">
        <f t="shared" si="43"/>
        <v>0</v>
      </c>
      <c r="BI687" s="460" t="str">
        <f t="shared" si="42"/>
        <v xml:space="preserve"> </v>
      </c>
      <c r="BJ687" s="58"/>
      <c r="BK687" s="58"/>
      <c r="BL687" s="58"/>
      <c r="BM687" s="58"/>
      <c r="BN687" s="58"/>
      <c r="BO687" s="58"/>
      <c r="BP687" s="541" t="s">
        <v>525</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0"/>
      <c r="H688" s="2040"/>
      <c r="I688" s="2040"/>
      <c r="J688" s="2040"/>
      <c r="K688" s="2040"/>
      <c r="L688" s="2040"/>
      <c r="M688" s="2040"/>
      <c r="N688" s="2040"/>
      <c r="O688" s="2040"/>
      <c r="P688" s="2040"/>
      <c r="Q688" s="2040"/>
      <c r="R688" s="2040"/>
      <c r="T688" s="35"/>
      <c r="U688" s="12" t="s">
        <v>17</v>
      </c>
      <c r="Z688" s="2032"/>
      <c r="AA688" s="2032"/>
      <c r="AB688" s="2032"/>
      <c r="AC688" s="2032"/>
      <c r="AD688" s="2032"/>
      <c r="AE688" s="2032"/>
      <c r="AF688" s="2032"/>
      <c r="AG688" s="2032"/>
      <c r="AH688" s="2032"/>
      <c r="AI688" s="2032"/>
      <c r="AJ688" s="2032"/>
      <c r="AK688" s="2032"/>
      <c r="AZ688" s="58"/>
      <c r="BA688" s="445" t="str">
        <f t="shared" si="40"/>
        <v>N/A</v>
      </c>
      <c r="BB688" s="58"/>
      <c r="BC688" s="58"/>
      <c r="BD688" s="58"/>
      <c r="BE688" s="58"/>
      <c r="BF688" s="381"/>
      <c r="BG688" s="456">
        <f t="shared" si="41"/>
        <v>0</v>
      </c>
      <c r="BH688" s="459">
        <f t="shared" si="43"/>
        <v>0</v>
      </c>
      <c r="BI688" s="460" t="str">
        <f t="shared" si="42"/>
        <v xml:space="preserve"> </v>
      </c>
      <c r="BJ688" s="58"/>
      <c r="BK688" s="58"/>
      <c r="BL688" s="58"/>
      <c r="BM688" s="58"/>
      <c r="BN688" s="58"/>
      <c r="BO688" s="58"/>
      <c r="BP688" s="541" t="s">
        <v>526</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56"/>
      <c r="H689" s="2056"/>
      <c r="I689" s="2056"/>
      <c r="J689" s="2056"/>
      <c r="K689" s="2056"/>
      <c r="L689" s="2056"/>
      <c r="O689" s="137" t="s">
        <v>211</v>
      </c>
      <c r="P689" s="2045"/>
      <c r="Q689" s="2045"/>
      <c r="R689" s="2045"/>
      <c r="T689" s="35"/>
      <c r="U689" s="12" t="s">
        <v>324</v>
      </c>
      <c r="Z689" s="2056"/>
      <c r="AA689" s="2056"/>
      <c r="AB689" s="2056"/>
      <c r="AC689" s="2056"/>
      <c r="AD689" s="2056"/>
      <c r="AE689" s="2056"/>
      <c r="AH689" s="137" t="s">
        <v>211</v>
      </c>
      <c r="AI689" s="2045"/>
      <c r="AJ689" s="2045"/>
      <c r="AK689" s="2045"/>
      <c r="AZ689" s="58"/>
      <c r="BA689" s="445" t="str">
        <f t="shared" si="40"/>
        <v>N/A</v>
      </c>
      <c r="BB689" s="58"/>
      <c r="BC689" s="58"/>
      <c r="BD689" s="58"/>
      <c r="BE689" s="58"/>
      <c r="BF689" s="381"/>
      <c r="BG689" s="456">
        <f t="shared" si="41"/>
        <v>0</v>
      </c>
      <c r="BH689" s="459">
        <f t="shared" si="43"/>
        <v>0</v>
      </c>
      <c r="BI689" s="460" t="str">
        <f t="shared" si="42"/>
        <v xml:space="preserve"> </v>
      </c>
      <c r="BJ689" s="58"/>
      <c r="BK689" s="58"/>
      <c r="BL689" s="58"/>
      <c r="BM689" s="58"/>
      <c r="BN689" s="58"/>
      <c r="BO689" s="58"/>
      <c r="BP689" s="541" t="s">
        <v>527</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5" t="str">
        <f t="shared" si="40"/>
        <v>N/A</v>
      </c>
      <c r="BB690" s="58"/>
      <c r="BC690" s="58"/>
      <c r="BD690" s="58"/>
      <c r="BE690" s="58"/>
      <c r="BF690" s="381"/>
      <c r="BG690" s="456">
        <f t="shared" si="41"/>
        <v>0</v>
      </c>
      <c r="BH690" s="459">
        <f t="shared" si="43"/>
        <v>0</v>
      </c>
      <c r="BI690" s="460" t="str">
        <f t="shared" si="42"/>
        <v xml:space="preserve"> </v>
      </c>
      <c r="BJ690" s="58"/>
      <c r="BK690" s="58"/>
      <c r="BL690" s="58"/>
      <c r="BM690" s="58"/>
      <c r="BN690" s="58"/>
      <c r="BO690" s="58"/>
      <c r="BP690" s="541" t="s">
        <v>528</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5" t="s">
        <v>705</v>
      </c>
      <c r="O691" s="2055"/>
      <c r="T691" s="35"/>
      <c r="U691" s="12" t="s">
        <v>20</v>
      </c>
      <c r="AG691" s="2055" t="s">
        <v>705</v>
      </c>
      <c r="AH691" s="2055"/>
      <c r="AZ691" s="58"/>
      <c r="BA691" s="445" t="str">
        <f t="shared" si="40"/>
        <v>N/A</v>
      </c>
      <c r="BB691" s="58"/>
      <c r="BF691" s="381"/>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1"/>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042">
        <f>C647</f>
        <v>0</v>
      </c>
      <c r="H693" s="2042"/>
      <c r="I693" s="2042"/>
      <c r="J693" s="2042"/>
      <c r="K693" s="2042"/>
      <c r="L693" s="2042"/>
      <c r="M693" s="2042"/>
      <c r="N693" s="2042"/>
      <c r="O693" s="2042"/>
      <c r="P693" s="2042"/>
      <c r="Q693" s="2042"/>
      <c r="R693" s="2042"/>
      <c r="T693" s="87" t="s">
        <v>372</v>
      </c>
      <c r="U693" s="12" t="s">
        <v>495</v>
      </c>
      <c r="Z693" s="2042">
        <f>C648</f>
        <v>0</v>
      </c>
      <c r="AA693" s="2042"/>
      <c r="AB693" s="2042"/>
      <c r="AC693" s="2042"/>
      <c r="AD693" s="2042"/>
      <c r="AE693" s="2042"/>
      <c r="AF693" s="2042"/>
      <c r="AG693" s="2042"/>
      <c r="AH693" s="2042"/>
      <c r="AI693" s="2042"/>
      <c r="AJ693" s="2042"/>
      <c r="AK693" s="2042"/>
      <c r="AZ693" s="58"/>
      <c r="BA693" s="445" t="str">
        <f t="shared" si="40"/>
        <v>N/A</v>
      </c>
      <c r="BB693" s="58"/>
      <c r="BF693" s="381"/>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5" t="str">
        <f t="shared" si="40"/>
        <v>N/A</v>
      </c>
      <c r="BB694" s="58"/>
      <c r="BF694" s="381"/>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0"/>
      <c r="H695" s="2040"/>
      <c r="I695" s="2040"/>
      <c r="J695" s="2040"/>
      <c r="K695" s="2040"/>
      <c r="L695" s="2040"/>
      <c r="M695" s="2040"/>
      <c r="N695" s="2040"/>
      <c r="O695" s="2040"/>
      <c r="P695" s="2040"/>
      <c r="Q695" s="2040"/>
      <c r="R695" s="2040"/>
      <c r="U695" s="12" t="s">
        <v>614</v>
      </c>
      <c r="Z695" s="2032"/>
      <c r="AA695" s="2032"/>
      <c r="AB695" s="2032"/>
      <c r="AC695" s="2032"/>
      <c r="AD695" s="2032"/>
      <c r="AE695" s="2032"/>
      <c r="AF695" s="2032"/>
      <c r="AG695" s="2032"/>
      <c r="AH695" s="2032"/>
      <c r="AI695" s="2032"/>
      <c r="AJ695" s="2032"/>
      <c r="AK695" s="2032"/>
      <c r="AZ695" s="58"/>
      <c r="BA695" s="58"/>
      <c r="BB695" s="58"/>
      <c r="BC695" s="58"/>
      <c r="BF695" s="381"/>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0"/>
      <c r="H696" s="2040"/>
      <c r="I696" s="2040"/>
      <c r="J696" s="2040"/>
      <c r="K696" s="2040"/>
      <c r="L696" s="2040"/>
      <c r="M696" s="2040"/>
      <c r="N696" s="2040"/>
      <c r="O696" s="2040"/>
      <c r="P696" s="2040"/>
      <c r="Q696" s="2040"/>
      <c r="R696" s="2040"/>
      <c r="U696" s="12" t="s">
        <v>17</v>
      </c>
      <c r="Z696" s="2032"/>
      <c r="AA696" s="2032"/>
      <c r="AB696" s="2032"/>
      <c r="AC696" s="2032"/>
      <c r="AD696" s="2032"/>
      <c r="AE696" s="2032"/>
      <c r="AF696" s="2032"/>
      <c r="AG696" s="2032"/>
      <c r="AH696" s="2032"/>
      <c r="AI696" s="2032"/>
      <c r="AJ696" s="2032"/>
      <c r="AK696" s="2032"/>
      <c r="AZ696" s="58"/>
      <c r="BA696" s="58"/>
      <c r="BB696" s="58"/>
      <c r="BC696" s="58"/>
      <c r="BD696" s="58"/>
      <c r="BF696" s="452" t="s">
        <v>967</v>
      </c>
      <c r="BG696" s="461">
        <f>SUM(BG671:BG695)</f>
        <v>64</v>
      </c>
      <c r="BH696" s="462">
        <f>SUM(BH671:BH695)</f>
        <v>1</v>
      </c>
      <c r="BI696" s="462">
        <f>SUM(BI671:BI695)</f>
        <v>0.47968749999999993</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56"/>
      <c r="H697" s="2056"/>
      <c r="I697" s="2056"/>
      <c r="J697" s="2056"/>
      <c r="K697" s="2056"/>
      <c r="L697" s="2056"/>
      <c r="O697" s="137" t="s">
        <v>211</v>
      </c>
      <c r="P697" s="2045"/>
      <c r="Q697" s="2045"/>
      <c r="R697" s="2045"/>
      <c r="U697" s="12" t="s">
        <v>324</v>
      </c>
      <c r="Z697" s="2056"/>
      <c r="AA697" s="2056"/>
      <c r="AB697" s="2056"/>
      <c r="AC697" s="2056"/>
      <c r="AD697" s="2056"/>
      <c r="AE697" s="2056"/>
      <c r="AH697" s="137" t="s">
        <v>211</v>
      </c>
      <c r="AI697" s="2045"/>
      <c r="AJ697" s="2045"/>
      <c r="AK697" s="2045"/>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5" t="s">
        <v>705</v>
      </c>
      <c r="O699" s="2055"/>
      <c r="U699" s="12" t="s">
        <v>20</v>
      </c>
      <c r="AG699" s="2055" t="s">
        <v>705</v>
      </c>
      <c r="AH699" s="2055"/>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3" t="s">
        <v>1932</v>
      </c>
      <c r="BH701" s="381"/>
      <c r="BI701" s="381"/>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964</v>
      </c>
      <c r="BH702" s="458" t="s">
        <v>965</v>
      </c>
      <c r="BI702" s="457" t="s">
        <v>966</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5" t="s">
        <v>577</v>
      </c>
      <c r="AF703" s="205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5</v>
      </c>
      <c r="BH703" s="459">
        <f>BG703/$BG$728</f>
        <v>7.8125E-2</v>
      </c>
      <c r="BI703" s="460">
        <f t="shared" ref="BI703:BI727" si="45">IF(BH703=0," ",BH703*AM728)</f>
        <v>2.34375E-2</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5" t="s">
        <v>577</v>
      </c>
      <c r="AF704" s="205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5</v>
      </c>
      <c r="BH704" s="459">
        <f t="shared" ref="BH704:BH727" si="46">BG704/$BG$728</f>
        <v>7.8125E-2</v>
      </c>
      <c r="BI704" s="460">
        <f t="shared" si="45"/>
        <v>2.3446297860360361E-2</v>
      </c>
      <c r="BJ704" s="58"/>
      <c r="BK704" s="61"/>
      <c r="BL704" s="61"/>
      <c r="BM704" s="61"/>
      <c r="BN704" s="61"/>
      <c r="BO704" s="61"/>
      <c r="BP704" s="541" t="s">
        <v>767</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5">
        <v>44341</v>
      </c>
      <c r="AF705" s="2215"/>
      <c r="AG705" s="2215"/>
      <c r="AH705" s="2215"/>
      <c r="AI705" s="221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3</v>
      </c>
      <c r="BH705" s="459">
        <f t="shared" si="46"/>
        <v>4.6875E-2</v>
      </c>
      <c r="BI705" s="460">
        <f t="shared" si="45"/>
        <v>1.4057935735150925E-2</v>
      </c>
      <c r="BJ705" s="58"/>
      <c r="BK705" s="58"/>
      <c r="BL705" s="58"/>
      <c r="BM705" s="58"/>
      <c r="BN705" s="61"/>
      <c r="BO705" s="61"/>
      <c r="BP705" s="541" t="s">
        <v>768</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2">
        <v>44419</v>
      </c>
      <c r="AF706" s="2382"/>
      <c r="AG706" s="2382"/>
      <c r="AH706" s="2382"/>
      <c r="AI706" s="238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3</v>
      </c>
      <c r="BH706" s="459">
        <f t="shared" si="46"/>
        <v>4.6875E-2</v>
      </c>
      <c r="BI706" s="460">
        <f t="shared" si="45"/>
        <v>2.34375E-2</v>
      </c>
      <c r="BJ706" s="58"/>
      <c r="BK706" s="58"/>
      <c r="BL706" s="58"/>
      <c r="BM706" s="58"/>
      <c r="BN706" s="61"/>
      <c r="BO706" s="61"/>
      <c r="BP706" s="541" t="s">
        <v>769</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12</v>
      </c>
      <c r="BH707" s="459">
        <f t="shared" si="46"/>
        <v>0.1875</v>
      </c>
      <c r="BI707" s="460">
        <f t="shared" si="45"/>
        <v>9.375E-2</v>
      </c>
      <c r="BJ707" s="58"/>
      <c r="BK707" s="58"/>
      <c r="BL707" s="58"/>
      <c r="BM707" s="58"/>
      <c r="BN707" s="61"/>
      <c r="BO707" s="61"/>
      <c r="BP707" s="541" t="s">
        <v>770</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5">
        <v>44593</v>
      </c>
      <c r="AF708" s="2215"/>
      <c r="AG708" s="2215"/>
      <c r="AH708" s="2215"/>
      <c r="AI708" s="221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18</v>
      </c>
      <c r="BH708" s="459">
        <f t="shared" si="46"/>
        <v>0.28125</v>
      </c>
      <c r="BI708" s="460">
        <f t="shared" si="45"/>
        <v>0.140625</v>
      </c>
      <c r="BJ708" s="58"/>
      <c r="BK708" s="58"/>
      <c r="BL708" s="58"/>
      <c r="BM708" s="58"/>
      <c r="BN708" s="58"/>
      <c r="BO708" s="58"/>
      <c r="BP708" s="541" t="s">
        <v>771</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274">
        <v>0.53</v>
      </c>
      <c r="AF709" s="2274"/>
      <c r="AG709" s="2274"/>
      <c r="AH709" s="2274"/>
      <c r="AI709" s="227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2</v>
      </c>
      <c r="BH709" s="459">
        <f t="shared" si="46"/>
        <v>3.125E-2</v>
      </c>
      <c r="BI709" s="460">
        <f t="shared" si="45"/>
        <v>1.8749999999999999E-2</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42" t="str">
        <f>H334</f>
        <v>California Municipal Finance Authority</v>
      </c>
      <c r="X710" s="2042"/>
      <c r="Y710" s="2042"/>
      <c r="Z710" s="2042"/>
      <c r="AA710" s="2042"/>
      <c r="AB710" s="2042"/>
      <c r="AC710" s="2042"/>
      <c r="AD710" s="2042"/>
      <c r="AE710" s="2042"/>
      <c r="AF710" s="2042"/>
      <c r="AG710" s="2042"/>
      <c r="AH710" s="2042"/>
      <c r="AI710" s="2042"/>
      <c r="AJ710" s="2042"/>
      <c r="AK710" s="204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2</v>
      </c>
      <c r="BH710" s="459">
        <f t="shared" si="46"/>
        <v>3.125E-2</v>
      </c>
      <c r="BI710" s="460">
        <f t="shared" si="45"/>
        <v>1.8757038288288289E-2</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9</v>
      </c>
      <c r="BH711" s="459">
        <f t="shared" si="46"/>
        <v>0.140625</v>
      </c>
      <c r="BI711" s="460">
        <f t="shared" si="45"/>
        <v>8.4416078383641679E-2</v>
      </c>
      <c r="BJ711" s="58"/>
      <c r="BK711" s="58"/>
      <c r="BL711" s="58"/>
      <c r="BM711" s="58"/>
      <c r="BN711" s="58"/>
      <c r="BO711" s="58"/>
      <c r="BP711" s="541" t="s">
        <v>196</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5" t="s">
        <v>705</v>
      </c>
      <c r="AF712" s="205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5</v>
      </c>
      <c r="BH712" s="459">
        <f t="shared" si="46"/>
        <v>7.8125E-2</v>
      </c>
      <c r="BI712" s="460">
        <f t="shared" si="45"/>
        <v>3.90625E-2</v>
      </c>
      <c r="BJ712" s="58"/>
      <c r="BK712" s="58"/>
      <c r="BL712" s="58"/>
      <c r="BM712" s="58"/>
      <c r="BN712" s="58"/>
      <c r="BO712" s="58"/>
      <c r="BP712" s="541" t="s">
        <v>197</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198</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199</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6"/>
      <c r="K715" s="2056"/>
      <c r="L715" s="2056"/>
      <c r="M715" s="2056"/>
      <c r="N715" s="2056"/>
      <c r="O715" s="2056"/>
      <c r="P715" s="7" t="s">
        <v>211</v>
      </c>
      <c r="Q715" s="7"/>
      <c r="R715" s="2045"/>
      <c r="S715" s="2045"/>
      <c r="T715" s="204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200</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0" t="s">
        <v>315</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201</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0" t="s">
        <v>342</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202</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178</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4" t="s">
        <v>100</v>
      </c>
      <c r="B719" s="1874"/>
      <c r="C719" s="1874"/>
      <c r="D719" s="1874"/>
      <c r="E719" s="1874"/>
      <c r="F719" s="1874"/>
      <c r="G719" s="1874"/>
      <c r="H719" s="1874"/>
      <c r="I719" s="1874"/>
      <c r="J719" s="1874"/>
      <c r="K719" s="1874"/>
      <c r="L719" s="1874"/>
      <c r="M719" s="1874"/>
      <c r="N719" s="1874"/>
      <c r="O719" s="1874"/>
      <c r="P719" s="1874"/>
      <c r="Q719" s="1874"/>
      <c r="R719" s="1874"/>
      <c r="S719" s="1874"/>
      <c r="T719" s="1874"/>
      <c r="U719" s="1874"/>
      <c r="V719" s="1874"/>
      <c r="W719" s="1874"/>
      <c r="X719" s="1874"/>
      <c r="Y719" s="1874"/>
      <c r="Z719" s="1874"/>
      <c r="AA719" s="1874"/>
      <c r="AB719" s="1874"/>
      <c r="AC719" s="1874"/>
      <c r="AD719" s="1874"/>
      <c r="AE719" s="1874"/>
      <c r="AF719" s="1874"/>
      <c r="AG719" s="1874"/>
      <c r="AH719" s="1874"/>
      <c r="AI719" s="1874"/>
      <c r="AJ719" s="1874"/>
      <c r="AK719" s="1874"/>
      <c r="AL719" s="1874"/>
      <c r="AM719" s="1874"/>
      <c r="AN719" s="1874"/>
      <c r="AO719" s="1874"/>
      <c r="AP719" s="1571"/>
      <c r="AQ719" s="1571"/>
      <c r="AR719" s="1571"/>
      <c r="AS719" s="1571"/>
      <c r="AT719" s="1571"/>
      <c r="AU719" s="1571"/>
      <c r="AV719" s="1571"/>
      <c r="AW719" s="1571"/>
      <c r="AX719" s="1571"/>
      <c r="AY719" s="1571"/>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203</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4"/>
      <c r="B720" s="1874"/>
      <c r="C720" s="1874"/>
      <c r="D720" s="1874"/>
      <c r="E720" s="1874"/>
      <c r="F720" s="1874"/>
      <c r="G720" s="1874"/>
      <c r="H720" s="1874"/>
      <c r="I720" s="1874"/>
      <c r="J720" s="1874"/>
      <c r="K720" s="1874"/>
      <c r="L720" s="1874"/>
      <c r="M720" s="1874"/>
      <c r="N720" s="1874"/>
      <c r="O720" s="1874"/>
      <c r="P720" s="1874"/>
      <c r="Q720" s="1874"/>
      <c r="R720" s="1874"/>
      <c r="S720" s="1874"/>
      <c r="T720" s="1874"/>
      <c r="U720" s="1874"/>
      <c r="V720" s="1874"/>
      <c r="W720" s="1874"/>
      <c r="X720" s="1874"/>
      <c r="Y720" s="1874"/>
      <c r="Z720" s="1874"/>
      <c r="AA720" s="1874"/>
      <c r="AB720" s="1874"/>
      <c r="AC720" s="1874"/>
      <c r="AD720" s="1874"/>
      <c r="AE720" s="1874"/>
      <c r="AF720" s="1874"/>
      <c r="AG720" s="1874"/>
      <c r="AH720" s="1874"/>
      <c r="AI720" s="1874"/>
      <c r="AJ720" s="1874"/>
      <c r="AK720" s="1874"/>
      <c r="AL720" s="1874"/>
      <c r="AM720" s="1874"/>
      <c r="AN720" s="1874"/>
      <c r="AO720" s="1874"/>
      <c r="AP720" s="1571"/>
      <c r="AQ720" s="1571"/>
      <c r="AR720" s="1571"/>
      <c r="AS720" s="1571"/>
      <c r="AT720" s="1571"/>
      <c r="AU720" s="1571"/>
      <c r="AV720" s="1571"/>
      <c r="AW720" s="1571"/>
      <c r="AX720" s="1571"/>
      <c r="AY720" s="1571"/>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204</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4"/>
      <c r="B721" s="1874"/>
      <c r="C721" s="1874"/>
      <c r="D721" s="1874"/>
      <c r="E721" s="1874"/>
      <c r="F721" s="1874"/>
      <c r="G721" s="1874"/>
      <c r="H721" s="1874"/>
      <c r="I721" s="1874"/>
      <c r="J721" s="1874"/>
      <c r="K721" s="1874"/>
      <c r="L721" s="1874"/>
      <c r="M721" s="1874"/>
      <c r="N721" s="1874"/>
      <c r="O721" s="1874"/>
      <c r="P721" s="1874"/>
      <c r="Q721" s="1874"/>
      <c r="R721" s="1874"/>
      <c r="S721" s="1874"/>
      <c r="T721" s="1874"/>
      <c r="U721" s="1874"/>
      <c r="V721" s="1874"/>
      <c r="W721" s="1874"/>
      <c r="X721" s="1874"/>
      <c r="Y721" s="1874"/>
      <c r="Z721" s="1874"/>
      <c r="AA721" s="1874"/>
      <c r="AB721" s="1874"/>
      <c r="AC721" s="1874"/>
      <c r="AD721" s="1874"/>
      <c r="AE721" s="1874"/>
      <c r="AF721" s="1874"/>
      <c r="AG721" s="1874"/>
      <c r="AH721" s="1874"/>
      <c r="AI721" s="1874"/>
      <c r="AJ721" s="1874"/>
      <c r="AK721" s="1874"/>
      <c r="AL721" s="1874"/>
      <c r="AM721" s="1874"/>
      <c r="AN721" s="1874"/>
      <c r="AO721" s="1874"/>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205</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206</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207</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28" t="s">
        <v>406</v>
      </c>
      <c r="C724" s="2129"/>
      <c r="D724" s="2129"/>
      <c r="E724" s="2129"/>
      <c r="F724" s="2130"/>
      <c r="G724" s="2128" t="s">
        <v>290</v>
      </c>
      <c r="H724" s="2129"/>
      <c r="I724" s="2129"/>
      <c r="J724" s="2130"/>
      <c r="K724" s="2351" t="s">
        <v>2154</v>
      </c>
      <c r="L724" s="2352"/>
      <c r="M724" s="2352"/>
      <c r="N724" s="2353"/>
      <c r="O724" s="2128" t="s">
        <v>477</v>
      </c>
      <c r="P724" s="2129"/>
      <c r="Q724" s="2129"/>
      <c r="R724" s="2129"/>
      <c r="S724" s="2130"/>
      <c r="T724" s="2128" t="s">
        <v>291</v>
      </c>
      <c r="U724" s="2129"/>
      <c r="V724" s="2129"/>
      <c r="W724" s="2129"/>
      <c r="X724" s="2130"/>
      <c r="Y724" s="2128" t="s">
        <v>292</v>
      </c>
      <c r="Z724" s="2129"/>
      <c r="AA724" s="2129"/>
      <c r="AB724" s="2130"/>
      <c r="AC724" s="2128" t="s">
        <v>293</v>
      </c>
      <c r="AD724" s="2129"/>
      <c r="AE724" s="2129"/>
      <c r="AF724" s="2129"/>
      <c r="AG724" s="2130"/>
      <c r="AH724" s="2128" t="s">
        <v>407</v>
      </c>
      <c r="AI724" s="2129"/>
      <c r="AJ724" s="2129"/>
      <c r="AK724" s="2129"/>
      <c r="AL724" s="2130"/>
      <c r="AM724" s="2128" t="s">
        <v>681</v>
      </c>
      <c r="AN724" s="2129"/>
      <c r="AO724" s="2130"/>
      <c r="AP724" s="238"/>
      <c r="AQ724" s="238"/>
      <c r="AR724" s="238"/>
      <c r="AS724" s="238"/>
      <c r="AT724" s="238"/>
      <c r="AU724" s="238"/>
      <c r="AV724" s="238"/>
      <c r="AW724" s="238"/>
      <c r="AX724" s="238"/>
      <c r="AY724" s="238"/>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31"/>
      <c r="C725" s="2132"/>
      <c r="D725" s="2132"/>
      <c r="E725" s="2132"/>
      <c r="F725" s="2133"/>
      <c r="G725" s="2131"/>
      <c r="H725" s="2132"/>
      <c r="I725" s="2132"/>
      <c r="J725" s="2133"/>
      <c r="K725" s="2354"/>
      <c r="L725" s="2355"/>
      <c r="M725" s="2355"/>
      <c r="N725" s="2356"/>
      <c r="O725" s="2131"/>
      <c r="P725" s="2132"/>
      <c r="Q725" s="2132"/>
      <c r="R725" s="2132"/>
      <c r="S725" s="2133"/>
      <c r="T725" s="2131"/>
      <c r="U725" s="2132"/>
      <c r="V725" s="2132"/>
      <c r="W725" s="2132"/>
      <c r="X725" s="2133"/>
      <c r="Y725" s="2131"/>
      <c r="Z725" s="2132"/>
      <c r="AA725" s="2132"/>
      <c r="AB725" s="2133"/>
      <c r="AC725" s="2131"/>
      <c r="AD725" s="2132"/>
      <c r="AE725" s="2132"/>
      <c r="AF725" s="2132"/>
      <c r="AG725" s="2133"/>
      <c r="AH725" s="2131"/>
      <c r="AI725" s="2132"/>
      <c r="AJ725" s="2132"/>
      <c r="AK725" s="2132"/>
      <c r="AL725" s="2133"/>
      <c r="AM725" s="2131"/>
      <c r="AN725" s="2132"/>
      <c r="AO725" s="2133"/>
      <c r="AP725" s="238"/>
      <c r="AQ725" s="238"/>
      <c r="AR725" s="238"/>
      <c r="AS725" s="238"/>
      <c r="AT725" s="238"/>
      <c r="AU725" s="238"/>
      <c r="AV725" s="238"/>
      <c r="AW725" s="238"/>
      <c r="AX725" s="238"/>
      <c r="AY725" s="238"/>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208</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31"/>
      <c r="C726" s="2132"/>
      <c r="D726" s="2132"/>
      <c r="E726" s="2132"/>
      <c r="F726" s="2133"/>
      <c r="G726" s="2131"/>
      <c r="H726" s="2132"/>
      <c r="I726" s="2132"/>
      <c r="J726" s="2133"/>
      <c r="K726" s="2354"/>
      <c r="L726" s="2355"/>
      <c r="M726" s="2355"/>
      <c r="N726" s="2356"/>
      <c r="O726" s="2131"/>
      <c r="P726" s="2132"/>
      <c r="Q726" s="2132"/>
      <c r="R726" s="2132"/>
      <c r="S726" s="2133"/>
      <c r="T726" s="2131"/>
      <c r="U726" s="2132"/>
      <c r="V726" s="2132"/>
      <c r="W726" s="2132"/>
      <c r="X726" s="2133"/>
      <c r="Y726" s="2131"/>
      <c r="Z726" s="2132"/>
      <c r="AA726" s="2132"/>
      <c r="AB726" s="2133"/>
      <c r="AC726" s="2131"/>
      <c r="AD726" s="2132"/>
      <c r="AE726" s="2132"/>
      <c r="AF726" s="2132"/>
      <c r="AG726" s="2133"/>
      <c r="AH726" s="2131"/>
      <c r="AI726" s="2132"/>
      <c r="AJ726" s="2132"/>
      <c r="AK726" s="2132"/>
      <c r="AL726" s="2133"/>
      <c r="AM726" s="2131"/>
      <c r="AN726" s="2132"/>
      <c r="AO726" s="2133"/>
      <c r="AP726" s="238"/>
      <c r="AQ726" s="238"/>
      <c r="AR726" s="238"/>
      <c r="AS726" s="238"/>
      <c r="AT726" s="238"/>
      <c r="AU726" s="238"/>
      <c r="AV726" s="238"/>
      <c r="AW726" s="238"/>
      <c r="AX726" s="238"/>
      <c r="AY726" s="238"/>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209</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34"/>
      <c r="C727" s="2135"/>
      <c r="D727" s="2135"/>
      <c r="E727" s="2135"/>
      <c r="F727" s="2136"/>
      <c r="G727" s="2134"/>
      <c r="H727" s="2135"/>
      <c r="I727" s="2135"/>
      <c r="J727" s="2136"/>
      <c r="K727" s="2354"/>
      <c r="L727" s="2355"/>
      <c r="M727" s="2355"/>
      <c r="N727" s="2356"/>
      <c r="O727" s="2134"/>
      <c r="P727" s="2135"/>
      <c r="Q727" s="2135"/>
      <c r="R727" s="2135"/>
      <c r="S727" s="2136"/>
      <c r="T727" s="2134"/>
      <c r="U727" s="2135"/>
      <c r="V727" s="2135"/>
      <c r="W727" s="2135"/>
      <c r="X727" s="2136"/>
      <c r="Y727" s="2134"/>
      <c r="Z727" s="2135"/>
      <c r="AA727" s="2135"/>
      <c r="AB727" s="2136"/>
      <c r="AC727" s="2134"/>
      <c r="AD727" s="2135"/>
      <c r="AE727" s="2135"/>
      <c r="AF727" s="2135"/>
      <c r="AG727" s="2136"/>
      <c r="AH727" s="2134"/>
      <c r="AI727" s="2135"/>
      <c r="AJ727" s="2135"/>
      <c r="AK727" s="2135"/>
      <c r="AL727" s="2136"/>
      <c r="AM727" s="2134"/>
      <c r="AN727" s="2135"/>
      <c r="AO727" s="2136"/>
      <c r="AP727" s="238"/>
      <c r="AQ727" s="238"/>
      <c r="AR727" s="238"/>
      <c r="AS727" s="238"/>
      <c r="AT727" s="238"/>
      <c r="AU727" s="238"/>
      <c r="AV727" s="238"/>
      <c r="AW727" s="238"/>
      <c r="AX727" s="238"/>
      <c r="AY727" s="238"/>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210</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93" t="s">
        <v>333</v>
      </c>
      <c r="C728" s="2094"/>
      <c r="D728" s="2094"/>
      <c r="E728" s="2094"/>
      <c r="F728" s="2095"/>
      <c r="G728" s="2275">
        <v>5</v>
      </c>
      <c r="H728" s="2276"/>
      <c r="I728" s="2276"/>
      <c r="J728" s="2277"/>
      <c r="K728" s="2036">
        <v>672</v>
      </c>
      <c r="L728" s="2037"/>
      <c r="M728" s="2037"/>
      <c r="N728" s="2038"/>
      <c r="O728" s="2123">
        <v>364</v>
      </c>
      <c r="P728" s="2124"/>
      <c r="Q728" s="2124"/>
      <c r="R728" s="2124"/>
      <c r="S728" s="2125"/>
      <c r="T728" s="2033">
        <f t="shared" ref="T728:T752" si="47">G728*O728</f>
        <v>1820</v>
      </c>
      <c r="U728" s="2034"/>
      <c r="V728" s="2034"/>
      <c r="W728" s="2034"/>
      <c r="X728" s="2035"/>
      <c r="Y728" s="2123">
        <v>80</v>
      </c>
      <c r="Z728" s="2124"/>
      <c r="AA728" s="2124"/>
      <c r="AB728" s="2125"/>
      <c r="AC728" s="2033">
        <f t="shared" ref="AC728:AC752" si="48">O728+Y728</f>
        <v>444</v>
      </c>
      <c r="AD728" s="2034"/>
      <c r="AE728" s="2034"/>
      <c r="AF728" s="2034"/>
      <c r="AG728" s="2035"/>
      <c r="AH728" s="2271">
        <v>0.3</v>
      </c>
      <c r="AI728" s="2272"/>
      <c r="AJ728" s="2272"/>
      <c r="AK728" s="2272"/>
      <c r="AL728" s="2273"/>
      <c r="AM728" s="2375">
        <f t="shared" ref="AM728:AM752" si="49">IF($AH728&gt;0,($AC728/$BA670), " ")</f>
        <v>0.3</v>
      </c>
      <c r="AN728" s="2376"/>
      <c r="AO728" s="2377"/>
      <c r="AP728" s="238"/>
      <c r="AQ728" s="238"/>
      <c r="AR728" s="238"/>
      <c r="AS728" s="238"/>
      <c r="AT728" s="238"/>
      <c r="AU728" s="238"/>
      <c r="AV728" s="238"/>
      <c r="AW728" s="238"/>
      <c r="AX728" s="238"/>
      <c r="AY728" s="238"/>
      <c r="AZ728" s="58"/>
      <c r="BA728" s="58"/>
      <c r="BB728" s="58"/>
      <c r="BC728" s="58"/>
      <c r="BD728" s="58"/>
      <c r="BE728" s="58"/>
      <c r="BF728" s="58"/>
      <c r="BG728" s="1419">
        <f>SUM(BG703:BG727)</f>
        <v>64</v>
      </c>
      <c r="BH728" s="462">
        <f>SUM(BH703:BH727)</f>
        <v>1</v>
      </c>
      <c r="BI728" s="462">
        <f>SUM(BI703:BI727)</f>
        <v>0.4797398502674412</v>
      </c>
      <c r="BJ728" s="718"/>
      <c r="BK728" s="58"/>
      <c r="BL728" s="58"/>
      <c r="BM728" s="58"/>
      <c r="BN728" s="58"/>
      <c r="BO728" s="58"/>
      <c r="BP728" s="440"/>
      <c r="BQ728" s="308"/>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93" t="s">
        <v>168</v>
      </c>
      <c r="C729" s="2094"/>
      <c r="D729" s="2094"/>
      <c r="E729" s="2094"/>
      <c r="F729" s="2095"/>
      <c r="G729" s="2275">
        <v>5</v>
      </c>
      <c r="H729" s="2276"/>
      <c r="I729" s="2276"/>
      <c r="J729" s="2277"/>
      <c r="K729" s="2036">
        <v>872</v>
      </c>
      <c r="L729" s="2037"/>
      <c r="M729" s="2037"/>
      <c r="N729" s="2038"/>
      <c r="O729" s="2123">
        <v>435</v>
      </c>
      <c r="P729" s="2124"/>
      <c r="Q729" s="2124"/>
      <c r="R729" s="2124"/>
      <c r="S729" s="2125"/>
      <c r="T729" s="2033">
        <f t="shared" si="47"/>
        <v>2175</v>
      </c>
      <c r="U729" s="2034"/>
      <c r="V729" s="2034"/>
      <c r="W729" s="2034"/>
      <c r="X729" s="2035"/>
      <c r="Y729" s="2123">
        <v>98</v>
      </c>
      <c r="Z729" s="2124"/>
      <c r="AA729" s="2124"/>
      <c r="AB729" s="2125"/>
      <c r="AC729" s="2033">
        <f t="shared" si="48"/>
        <v>533</v>
      </c>
      <c r="AD729" s="2034"/>
      <c r="AE729" s="2034"/>
      <c r="AF729" s="2034"/>
      <c r="AG729" s="2035"/>
      <c r="AH729" s="2271">
        <v>0.3</v>
      </c>
      <c r="AI729" s="2272"/>
      <c r="AJ729" s="2272"/>
      <c r="AK729" s="2272"/>
      <c r="AL729" s="2273"/>
      <c r="AM729" s="2375">
        <f t="shared" si="49"/>
        <v>0.30011261261261263</v>
      </c>
      <c r="AN729" s="2376"/>
      <c r="AO729" s="2377"/>
      <c r="AP729" s="238"/>
      <c r="AQ729" s="238"/>
      <c r="AR729" s="238"/>
      <c r="AS729" s="238"/>
      <c r="AT729" s="238"/>
      <c r="AU729" s="238"/>
      <c r="AV729" s="238"/>
      <c r="AW729" s="238"/>
      <c r="AX729" s="238"/>
      <c r="AY729" s="23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93" t="s">
        <v>169</v>
      </c>
      <c r="C730" s="2094"/>
      <c r="D730" s="2094"/>
      <c r="E730" s="2094"/>
      <c r="F730" s="2095"/>
      <c r="G730" s="2275">
        <v>3</v>
      </c>
      <c r="H730" s="2276"/>
      <c r="I730" s="2276"/>
      <c r="J730" s="2277"/>
      <c r="K730" s="2036">
        <v>1026</v>
      </c>
      <c r="L730" s="2037"/>
      <c r="M730" s="2037"/>
      <c r="N730" s="2038"/>
      <c r="O730" s="2123">
        <v>500</v>
      </c>
      <c r="P730" s="2124"/>
      <c r="Q730" s="2124"/>
      <c r="R730" s="2124"/>
      <c r="S730" s="2125"/>
      <c r="T730" s="2033">
        <f t="shared" si="47"/>
        <v>1500</v>
      </c>
      <c r="U730" s="2034"/>
      <c r="V730" s="2034"/>
      <c r="W730" s="2034"/>
      <c r="X730" s="2035"/>
      <c r="Y730" s="2123">
        <v>116</v>
      </c>
      <c r="Z730" s="2124"/>
      <c r="AA730" s="2124"/>
      <c r="AB730" s="2125"/>
      <c r="AC730" s="2033">
        <f t="shared" si="48"/>
        <v>616</v>
      </c>
      <c r="AD730" s="2034"/>
      <c r="AE730" s="2034"/>
      <c r="AF730" s="2034"/>
      <c r="AG730" s="2035"/>
      <c r="AH730" s="2271">
        <v>0.3</v>
      </c>
      <c r="AI730" s="2272"/>
      <c r="AJ730" s="2272"/>
      <c r="AK730" s="2272"/>
      <c r="AL730" s="2273"/>
      <c r="AM730" s="2375">
        <f t="shared" si="49"/>
        <v>0.29990262901655307</v>
      </c>
      <c r="AN730" s="2376"/>
      <c r="AO730" s="2377"/>
      <c r="AP730" s="238"/>
      <c r="AQ730" s="238"/>
      <c r="AR730" s="238"/>
      <c r="AS730" s="238"/>
      <c r="AT730" s="238"/>
      <c r="AU730" s="238"/>
      <c r="AV730" s="238"/>
      <c r="AW730" s="238"/>
      <c r="AX730" s="238"/>
      <c r="AY730" s="23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93" t="s">
        <v>333</v>
      </c>
      <c r="C731" s="2094"/>
      <c r="D731" s="2094"/>
      <c r="E731" s="2094"/>
      <c r="F731" s="2095"/>
      <c r="G731" s="2275">
        <v>3</v>
      </c>
      <c r="H731" s="2276"/>
      <c r="I731" s="2276"/>
      <c r="J731" s="2277"/>
      <c r="K731" s="2036">
        <v>672</v>
      </c>
      <c r="L731" s="2037"/>
      <c r="M731" s="2037"/>
      <c r="N731" s="2038"/>
      <c r="O731" s="2123">
        <v>660</v>
      </c>
      <c r="P731" s="2124"/>
      <c r="Q731" s="2124"/>
      <c r="R731" s="2124"/>
      <c r="S731" s="2125"/>
      <c r="T731" s="2033">
        <f t="shared" si="47"/>
        <v>1980</v>
      </c>
      <c r="U731" s="2034"/>
      <c r="V731" s="2034"/>
      <c r="W731" s="2034"/>
      <c r="X731" s="2035"/>
      <c r="Y731" s="2123">
        <v>80</v>
      </c>
      <c r="Z731" s="2124"/>
      <c r="AA731" s="2124"/>
      <c r="AB731" s="2125"/>
      <c r="AC731" s="2033">
        <f t="shared" si="48"/>
        <v>740</v>
      </c>
      <c r="AD731" s="2034"/>
      <c r="AE731" s="2034"/>
      <c r="AF731" s="2034"/>
      <c r="AG731" s="2035"/>
      <c r="AH731" s="2271">
        <v>0.5</v>
      </c>
      <c r="AI731" s="2272"/>
      <c r="AJ731" s="2272"/>
      <c r="AK731" s="2272"/>
      <c r="AL731" s="2273"/>
      <c r="AM731" s="2375">
        <f t="shared" si="49"/>
        <v>0.5</v>
      </c>
      <c r="AN731" s="2376"/>
      <c r="AO731" s="2377"/>
      <c r="AP731" s="238"/>
      <c r="AQ731" s="238"/>
      <c r="AR731" s="238"/>
      <c r="AS731" s="238"/>
      <c r="AT731" s="238"/>
      <c r="AU731" s="238"/>
      <c r="AV731" s="238"/>
      <c r="AW731" s="238"/>
      <c r="AX731" s="238"/>
      <c r="AY731" s="23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93" t="s">
        <v>168</v>
      </c>
      <c r="C732" s="2094"/>
      <c r="D732" s="2094"/>
      <c r="E732" s="2094"/>
      <c r="F732" s="2095"/>
      <c r="G732" s="2275">
        <v>12</v>
      </c>
      <c r="H732" s="2276"/>
      <c r="I732" s="2276"/>
      <c r="J732" s="2277"/>
      <c r="K732" s="2036">
        <v>872</v>
      </c>
      <c r="L732" s="2037"/>
      <c r="M732" s="2037"/>
      <c r="N732" s="2038"/>
      <c r="O732" s="2123">
        <v>790</v>
      </c>
      <c r="P732" s="2124"/>
      <c r="Q732" s="2124"/>
      <c r="R732" s="2124"/>
      <c r="S732" s="2125"/>
      <c r="T732" s="2033">
        <f t="shared" si="47"/>
        <v>9480</v>
      </c>
      <c r="U732" s="2034"/>
      <c r="V732" s="2034"/>
      <c r="W732" s="2034"/>
      <c r="X732" s="2035"/>
      <c r="Y732" s="2123">
        <v>98</v>
      </c>
      <c r="Z732" s="2124"/>
      <c r="AA732" s="2124"/>
      <c r="AB732" s="2125"/>
      <c r="AC732" s="2033">
        <f t="shared" si="48"/>
        <v>888</v>
      </c>
      <c r="AD732" s="2034"/>
      <c r="AE732" s="2034"/>
      <c r="AF732" s="2034"/>
      <c r="AG732" s="2035"/>
      <c r="AH732" s="2271">
        <v>0.5</v>
      </c>
      <c r="AI732" s="2272"/>
      <c r="AJ732" s="2272"/>
      <c r="AK732" s="2272"/>
      <c r="AL732" s="2273"/>
      <c r="AM732" s="2375">
        <f t="shared" si="49"/>
        <v>0.5</v>
      </c>
      <c r="AN732" s="2376"/>
      <c r="AO732" s="2377"/>
      <c r="AP732" s="238"/>
      <c r="AQ732" s="238"/>
      <c r="AR732" s="238"/>
      <c r="AS732" s="238"/>
      <c r="AT732" s="238"/>
      <c r="AU732" s="238"/>
      <c r="AV732" s="238"/>
      <c r="AW732" s="238"/>
      <c r="AX732" s="238"/>
      <c r="AY732" s="23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93" t="s">
        <v>169</v>
      </c>
      <c r="C733" s="2094"/>
      <c r="D733" s="2094"/>
      <c r="E733" s="2094"/>
      <c r="F733" s="2095"/>
      <c r="G733" s="2275">
        <v>18</v>
      </c>
      <c r="H733" s="2276"/>
      <c r="I733" s="2276"/>
      <c r="J733" s="2277"/>
      <c r="K733" s="2036">
        <v>1026</v>
      </c>
      <c r="L733" s="2037"/>
      <c r="M733" s="2037"/>
      <c r="N733" s="2038"/>
      <c r="O733" s="2123">
        <v>911</v>
      </c>
      <c r="P733" s="2124"/>
      <c r="Q733" s="2124"/>
      <c r="R733" s="2124"/>
      <c r="S733" s="2125"/>
      <c r="T733" s="2033">
        <f t="shared" si="47"/>
        <v>16398</v>
      </c>
      <c r="U733" s="2034"/>
      <c r="V733" s="2034"/>
      <c r="W733" s="2034"/>
      <c r="X733" s="2035"/>
      <c r="Y733" s="2123">
        <v>116</v>
      </c>
      <c r="Z733" s="2124"/>
      <c r="AA733" s="2124"/>
      <c r="AB733" s="2125"/>
      <c r="AC733" s="2033">
        <f t="shared" si="48"/>
        <v>1027</v>
      </c>
      <c r="AD733" s="2034"/>
      <c r="AE733" s="2034"/>
      <c r="AF733" s="2034"/>
      <c r="AG733" s="2035"/>
      <c r="AH733" s="2271">
        <v>0.5</v>
      </c>
      <c r="AI733" s="2272"/>
      <c r="AJ733" s="2272"/>
      <c r="AK733" s="2272"/>
      <c r="AL733" s="2273"/>
      <c r="AM733" s="2375">
        <f t="shared" si="49"/>
        <v>0.5</v>
      </c>
      <c r="AN733" s="2376"/>
      <c r="AO733" s="2377"/>
      <c r="AP733" s="238"/>
      <c r="AQ733" s="238"/>
      <c r="AR733" s="238"/>
      <c r="AS733" s="238"/>
      <c r="AT733" s="238"/>
      <c r="AU733" s="238"/>
      <c r="AV733" s="238"/>
      <c r="AW733" s="238"/>
      <c r="AX733" s="238"/>
      <c r="AY733" s="23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93" t="s">
        <v>333</v>
      </c>
      <c r="C734" s="2094"/>
      <c r="D734" s="2094"/>
      <c r="E734" s="2094"/>
      <c r="F734" s="2095"/>
      <c r="G734" s="2275">
        <v>2</v>
      </c>
      <c r="H734" s="2276"/>
      <c r="I734" s="2276"/>
      <c r="J734" s="2277"/>
      <c r="K734" s="2036">
        <v>672</v>
      </c>
      <c r="L734" s="2037"/>
      <c r="M734" s="2037"/>
      <c r="N734" s="2038"/>
      <c r="O734" s="2123">
        <v>808</v>
      </c>
      <c r="P734" s="2124"/>
      <c r="Q734" s="2124"/>
      <c r="R734" s="2124"/>
      <c r="S734" s="2125"/>
      <c r="T734" s="2033">
        <f t="shared" si="47"/>
        <v>1616</v>
      </c>
      <c r="U734" s="2034"/>
      <c r="V734" s="2034"/>
      <c r="W734" s="2034"/>
      <c r="X734" s="2035"/>
      <c r="Y734" s="2123">
        <v>80</v>
      </c>
      <c r="Z734" s="2124"/>
      <c r="AA734" s="2124"/>
      <c r="AB734" s="2125"/>
      <c r="AC734" s="2033">
        <f t="shared" si="48"/>
        <v>888</v>
      </c>
      <c r="AD734" s="2034"/>
      <c r="AE734" s="2034"/>
      <c r="AF734" s="2034"/>
      <c r="AG734" s="2035"/>
      <c r="AH734" s="2271">
        <v>0.6</v>
      </c>
      <c r="AI734" s="2272"/>
      <c r="AJ734" s="2272"/>
      <c r="AK734" s="2272"/>
      <c r="AL734" s="2273"/>
      <c r="AM734" s="2375">
        <f t="shared" si="49"/>
        <v>0.6</v>
      </c>
      <c r="AN734" s="2376"/>
      <c r="AO734" s="2377"/>
      <c r="AP734" s="238"/>
      <c r="AQ734" s="238"/>
      <c r="AR734" s="238"/>
      <c r="AS734" s="238"/>
      <c r="AT734" s="238"/>
      <c r="AU734" s="238"/>
      <c r="AV734" s="238"/>
      <c r="AW734" s="238"/>
      <c r="AX734" s="238"/>
      <c r="AY734" s="23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93" t="s">
        <v>168</v>
      </c>
      <c r="C735" s="2094"/>
      <c r="D735" s="2094"/>
      <c r="E735" s="2094"/>
      <c r="F735" s="2095"/>
      <c r="G735" s="2275">
        <v>2</v>
      </c>
      <c r="H735" s="2276"/>
      <c r="I735" s="2276"/>
      <c r="J735" s="2277"/>
      <c r="K735" s="2036">
        <v>872</v>
      </c>
      <c r="L735" s="2037"/>
      <c r="M735" s="2037"/>
      <c r="N735" s="2038"/>
      <c r="O735" s="2123">
        <v>968</v>
      </c>
      <c r="P735" s="2124"/>
      <c r="Q735" s="2124"/>
      <c r="R735" s="2124"/>
      <c r="S735" s="2125"/>
      <c r="T735" s="2033">
        <f t="shared" si="47"/>
        <v>1936</v>
      </c>
      <c r="U735" s="2034"/>
      <c r="V735" s="2034"/>
      <c r="W735" s="2034"/>
      <c r="X735" s="2035"/>
      <c r="Y735" s="2123">
        <v>98</v>
      </c>
      <c r="Z735" s="2124"/>
      <c r="AA735" s="2124"/>
      <c r="AB735" s="2125"/>
      <c r="AC735" s="2033">
        <f t="shared" si="48"/>
        <v>1066</v>
      </c>
      <c r="AD735" s="2034"/>
      <c r="AE735" s="2034"/>
      <c r="AF735" s="2034"/>
      <c r="AG735" s="2035"/>
      <c r="AH735" s="2271">
        <v>0.6</v>
      </c>
      <c r="AI735" s="2272"/>
      <c r="AJ735" s="2272"/>
      <c r="AK735" s="2272"/>
      <c r="AL735" s="2273"/>
      <c r="AM735" s="2375">
        <f t="shared" si="49"/>
        <v>0.60022522522522526</v>
      </c>
      <c r="AN735" s="2376"/>
      <c r="AO735" s="2377"/>
      <c r="AP735" s="238"/>
      <c r="AQ735" s="238"/>
      <c r="AR735" s="238"/>
      <c r="AS735" s="238"/>
      <c r="AT735" s="238"/>
      <c r="AU735" s="238"/>
      <c r="AV735" s="238"/>
      <c r="AW735" s="238"/>
      <c r="AX735" s="238"/>
      <c r="AY735" s="23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93" t="s">
        <v>169</v>
      </c>
      <c r="C736" s="2094"/>
      <c r="D736" s="2094"/>
      <c r="E736" s="2094"/>
      <c r="F736" s="2095"/>
      <c r="G736" s="2275">
        <v>9</v>
      </c>
      <c r="H736" s="2276"/>
      <c r="I736" s="2276"/>
      <c r="J736" s="2277"/>
      <c r="K736" s="2036">
        <v>1026</v>
      </c>
      <c r="L736" s="2037"/>
      <c r="M736" s="2037"/>
      <c r="N736" s="2038"/>
      <c r="O736" s="2123">
        <v>1117</v>
      </c>
      <c r="P736" s="2124"/>
      <c r="Q736" s="2124"/>
      <c r="R736" s="2124"/>
      <c r="S736" s="2125"/>
      <c r="T736" s="2033">
        <f t="shared" si="47"/>
        <v>10053</v>
      </c>
      <c r="U736" s="2034"/>
      <c r="V736" s="2034"/>
      <c r="W736" s="2034"/>
      <c r="X736" s="2035"/>
      <c r="Y736" s="2123">
        <v>116</v>
      </c>
      <c r="Z736" s="2124"/>
      <c r="AA736" s="2124"/>
      <c r="AB736" s="2125"/>
      <c r="AC736" s="2033">
        <f t="shared" si="48"/>
        <v>1233</v>
      </c>
      <c r="AD736" s="2034"/>
      <c r="AE736" s="2034"/>
      <c r="AF736" s="2034"/>
      <c r="AG736" s="2035"/>
      <c r="AH736" s="2271">
        <v>0.6</v>
      </c>
      <c r="AI736" s="2272"/>
      <c r="AJ736" s="2272"/>
      <c r="AK736" s="2272"/>
      <c r="AL736" s="2273"/>
      <c r="AM736" s="2375">
        <f t="shared" si="49"/>
        <v>0.60029211295034079</v>
      </c>
      <c r="AN736" s="2376"/>
      <c r="AO736" s="2377"/>
      <c r="AP736" s="238"/>
      <c r="AQ736" s="238"/>
      <c r="AR736" s="238"/>
      <c r="AS736" s="238"/>
      <c r="AT736" s="238"/>
      <c r="AU736" s="238"/>
      <c r="AV736" s="238"/>
      <c r="AW736" s="238"/>
      <c r="AX736" s="238"/>
      <c r="AY736" s="23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93" t="s">
        <v>333</v>
      </c>
      <c r="C737" s="2094"/>
      <c r="D737" s="2094"/>
      <c r="E737" s="2094"/>
      <c r="F737" s="2095"/>
      <c r="G737" s="2275">
        <v>5</v>
      </c>
      <c r="H737" s="2276"/>
      <c r="I737" s="2276"/>
      <c r="J737" s="2277"/>
      <c r="K737" s="2036">
        <v>672</v>
      </c>
      <c r="L737" s="2037"/>
      <c r="M737" s="2037"/>
      <c r="N737" s="2038"/>
      <c r="O737" s="2123">
        <v>660</v>
      </c>
      <c r="P737" s="2124"/>
      <c r="Q737" s="2124"/>
      <c r="R737" s="2124"/>
      <c r="S737" s="2125"/>
      <c r="T737" s="2033">
        <f t="shared" si="47"/>
        <v>3300</v>
      </c>
      <c r="U737" s="2034"/>
      <c r="V737" s="2034"/>
      <c r="W737" s="2034"/>
      <c r="X737" s="2035"/>
      <c r="Y737" s="2123">
        <v>80</v>
      </c>
      <c r="Z737" s="2124"/>
      <c r="AA737" s="2124"/>
      <c r="AB737" s="2125"/>
      <c r="AC737" s="2033">
        <f t="shared" si="48"/>
        <v>740</v>
      </c>
      <c r="AD737" s="2034"/>
      <c r="AE737" s="2034"/>
      <c r="AF737" s="2034"/>
      <c r="AG737" s="2035"/>
      <c r="AH737" s="2271">
        <v>0.5</v>
      </c>
      <c r="AI737" s="2272"/>
      <c r="AJ737" s="2272"/>
      <c r="AK737" s="2272"/>
      <c r="AL737" s="2273"/>
      <c r="AM737" s="2375">
        <f t="shared" si="49"/>
        <v>0.5</v>
      </c>
      <c r="AN737" s="2376"/>
      <c r="AO737" s="2377"/>
      <c r="AP737" s="238"/>
      <c r="AQ737" s="238"/>
      <c r="AR737" s="238"/>
      <c r="AS737" s="238"/>
      <c r="AT737" s="238"/>
      <c r="AU737" s="238"/>
      <c r="AV737" s="238"/>
      <c r="AW737" s="238"/>
      <c r="AX737" s="238"/>
      <c r="AY737" s="23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93"/>
      <c r="C738" s="2094"/>
      <c r="D738" s="2094"/>
      <c r="E738" s="2094"/>
      <c r="F738" s="2095"/>
      <c r="G738" s="2275"/>
      <c r="H738" s="2276"/>
      <c r="I738" s="2276"/>
      <c r="J738" s="2277"/>
      <c r="K738" s="2036"/>
      <c r="L738" s="2037"/>
      <c r="M738" s="2037"/>
      <c r="N738" s="2038"/>
      <c r="O738" s="2123"/>
      <c r="P738" s="2124"/>
      <c r="Q738" s="2124"/>
      <c r="R738" s="2124"/>
      <c r="S738" s="2125"/>
      <c r="T738" s="2033">
        <f t="shared" si="47"/>
        <v>0</v>
      </c>
      <c r="U738" s="2034"/>
      <c r="V738" s="2034"/>
      <c r="W738" s="2034"/>
      <c r="X738" s="2035"/>
      <c r="Y738" s="2123"/>
      <c r="Z738" s="2124"/>
      <c r="AA738" s="2124"/>
      <c r="AB738" s="2125"/>
      <c r="AC738" s="2033">
        <f t="shared" si="48"/>
        <v>0</v>
      </c>
      <c r="AD738" s="2034"/>
      <c r="AE738" s="2034"/>
      <c r="AF738" s="2034"/>
      <c r="AG738" s="2035"/>
      <c r="AH738" s="2271"/>
      <c r="AI738" s="2272"/>
      <c r="AJ738" s="2272"/>
      <c r="AK738" s="2272"/>
      <c r="AL738" s="2273"/>
      <c r="AM738" s="2375" t="str">
        <f t="shared" si="49"/>
        <v xml:space="preserve"> </v>
      </c>
      <c r="AN738" s="2376"/>
      <c r="AO738" s="2377"/>
      <c r="AP738" s="238"/>
      <c r="AQ738" s="238"/>
      <c r="AR738" s="238"/>
      <c r="AS738" s="238"/>
      <c r="AT738" s="238"/>
      <c r="AU738" s="238"/>
      <c r="AV738" s="238"/>
      <c r="AW738" s="238"/>
      <c r="AX738" s="238"/>
      <c r="AY738" s="23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93"/>
      <c r="C739" s="2094"/>
      <c r="D739" s="2094"/>
      <c r="E739" s="2094"/>
      <c r="F739" s="2095"/>
      <c r="G739" s="2275"/>
      <c r="H739" s="2276"/>
      <c r="I739" s="2276"/>
      <c r="J739" s="2277"/>
      <c r="K739" s="2036"/>
      <c r="L739" s="2037"/>
      <c r="M739" s="2037"/>
      <c r="N739" s="2038"/>
      <c r="O739" s="2123"/>
      <c r="P739" s="2124"/>
      <c r="Q739" s="2124"/>
      <c r="R739" s="2124"/>
      <c r="S739" s="2125"/>
      <c r="T739" s="2033">
        <f t="shared" si="47"/>
        <v>0</v>
      </c>
      <c r="U739" s="2034"/>
      <c r="V739" s="2034"/>
      <c r="W739" s="2034"/>
      <c r="X739" s="2035"/>
      <c r="Y739" s="2123">
        <v>0</v>
      </c>
      <c r="Z739" s="2124"/>
      <c r="AA739" s="2124"/>
      <c r="AB739" s="2125"/>
      <c r="AC739" s="2033">
        <f t="shared" si="48"/>
        <v>0</v>
      </c>
      <c r="AD739" s="2034"/>
      <c r="AE739" s="2034"/>
      <c r="AF739" s="2034"/>
      <c r="AG739" s="2035"/>
      <c r="AH739" s="2271">
        <v>0</v>
      </c>
      <c r="AI739" s="2272"/>
      <c r="AJ739" s="2272"/>
      <c r="AK739" s="2272"/>
      <c r="AL739" s="2273"/>
      <c r="AM739" s="2375" t="str">
        <f t="shared" si="49"/>
        <v xml:space="preserve"> </v>
      </c>
      <c r="AN739" s="2376"/>
      <c r="AO739" s="2377"/>
      <c r="AP739" s="238"/>
      <c r="AQ739" s="238"/>
      <c r="AR739" s="238"/>
      <c r="AS739" s="238"/>
      <c r="AT739" s="238"/>
      <c r="AU739" s="238"/>
      <c r="AV739" s="238"/>
      <c r="AW739" s="238"/>
      <c r="AX739" s="238"/>
      <c r="AY739" s="23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93"/>
      <c r="C740" s="2094"/>
      <c r="D740" s="2094"/>
      <c r="E740" s="2094"/>
      <c r="F740" s="2095"/>
      <c r="G740" s="2275"/>
      <c r="H740" s="2276"/>
      <c r="I740" s="2276"/>
      <c r="J740" s="2277"/>
      <c r="K740" s="2036"/>
      <c r="L740" s="2037"/>
      <c r="M740" s="2037"/>
      <c r="N740" s="2038"/>
      <c r="O740" s="2123"/>
      <c r="P740" s="2124"/>
      <c r="Q740" s="2124"/>
      <c r="R740" s="2124"/>
      <c r="S740" s="2125"/>
      <c r="T740" s="2033">
        <f t="shared" si="47"/>
        <v>0</v>
      </c>
      <c r="U740" s="2034"/>
      <c r="V740" s="2034"/>
      <c r="W740" s="2034"/>
      <c r="X740" s="2035"/>
      <c r="Y740" s="2123">
        <v>0</v>
      </c>
      <c r="Z740" s="2124"/>
      <c r="AA740" s="2124"/>
      <c r="AB740" s="2125"/>
      <c r="AC740" s="2033">
        <f t="shared" si="48"/>
        <v>0</v>
      </c>
      <c r="AD740" s="2034"/>
      <c r="AE740" s="2034"/>
      <c r="AF740" s="2034"/>
      <c r="AG740" s="2035"/>
      <c r="AH740" s="2271">
        <v>0</v>
      </c>
      <c r="AI740" s="2272"/>
      <c r="AJ740" s="2272"/>
      <c r="AK740" s="2272"/>
      <c r="AL740" s="2273"/>
      <c r="AM740" s="2375" t="str">
        <f t="shared" si="49"/>
        <v xml:space="preserve"> </v>
      </c>
      <c r="AN740" s="2376"/>
      <c r="AO740" s="2377"/>
      <c r="AP740" s="238"/>
      <c r="AQ740" s="238"/>
      <c r="AR740" s="238"/>
      <c r="AS740" s="238"/>
      <c r="AT740" s="238"/>
      <c r="AU740" s="238"/>
      <c r="AV740" s="238"/>
      <c r="AW740" s="238"/>
      <c r="AX740" s="238"/>
      <c r="AY740" s="23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93"/>
      <c r="C741" s="2094"/>
      <c r="D741" s="2094"/>
      <c r="E741" s="2094"/>
      <c r="F741" s="2095"/>
      <c r="G741" s="2275"/>
      <c r="H741" s="2276"/>
      <c r="I741" s="2276"/>
      <c r="J741" s="2277"/>
      <c r="K741" s="2036"/>
      <c r="L741" s="2037"/>
      <c r="M741" s="2037"/>
      <c r="N741" s="2038"/>
      <c r="O741" s="2123"/>
      <c r="P741" s="2124"/>
      <c r="Q741" s="2124"/>
      <c r="R741" s="2124"/>
      <c r="S741" s="2125"/>
      <c r="T741" s="2033">
        <f t="shared" si="47"/>
        <v>0</v>
      </c>
      <c r="U741" s="2034"/>
      <c r="V741" s="2034"/>
      <c r="W741" s="2034"/>
      <c r="X741" s="2035"/>
      <c r="Y741" s="2123">
        <v>0</v>
      </c>
      <c r="Z741" s="2124"/>
      <c r="AA741" s="2124"/>
      <c r="AB741" s="2125"/>
      <c r="AC741" s="2033">
        <f t="shared" si="48"/>
        <v>0</v>
      </c>
      <c r="AD741" s="2034"/>
      <c r="AE741" s="2034"/>
      <c r="AF741" s="2034"/>
      <c r="AG741" s="2035"/>
      <c r="AH741" s="2271">
        <v>0</v>
      </c>
      <c r="AI741" s="2272"/>
      <c r="AJ741" s="2272"/>
      <c r="AK741" s="2272"/>
      <c r="AL741" s="2273"/>
      <c r="AM741" s="2375" t="str">
        <f t="shared" si="49"/>
        <v xml:space="preserve"> </v>
      </c>
      <c r="AN741" s="2376"/>
      <c r="AO741" s="2377"/>
      <c r="AP741" s="238"/>
      <c r="AQ741" s="238"/>
      <c r="AR741" s="238"/>
      <c r="AS741" s="238"/>
      <c r="AT741" s="238"/>
      <c r="AU741" s="238"/>
      <c r="AV741" s="238"/>
      <c r="AW741" s="238"/>
      <c r="AX741" s="238"/>
      <c r="AY741" s="23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93"/>
      <c r="C742" s="2094"/>
      <c r="D742" s="2094"/>
      <c r="E742" s="2094"/>
      <c r="F742" s="2095"/>
      <c r="G742" s="2275"/>
      <c r="H742" s="2276"/>
      <c r="I742" s="2276"/>
      <c r="J742" s="2277"/>
      <c r="K742" s="2036"/>
      <c r="L742" s="2037"/>
      <c r="M742" s="2037"/>
      <c r="N742" s="2038"/>
      <c r="O742" s="2123"/>
      <c r="P742" s="2124"/>
      <c r="Q742" s="2124"/>
      <c r="R742" s="2124"/>
      <c r="S742" s="2125"/>
      <c r="T742" s="2033">
        <f t="shared" si="47"/>
        <v>0</v>
      </c>
      <c r="U742" s="2034"/>
      <c r="V742" s="2034"/>
      <c r="W742" s="2034"/>
      <c r="X742" s="2035"/>
      <c r="Y742" s="2123">
        <v>0</v>
      </c>
      <c r="Z742" s="2124"/>
      <c r="AA742" s="2124"/>
      <c r="AB742" s="2125"/>
      <c r="AC742" s="2033">
        <f t="shared" si="48"/>
        <v>0</v>
      </c>
      <c r="AD742" s="2034"/>
      <c r="AE742" s="2034"/>
      <c r="AF742" s="2034"/>
      <c r="AG742" s="2035"/>
      <c r="AH742" s="2271">
        <v>0</v>
      </c>
      <c r="AI742" s="2272"/>
      <c r="AJ742" s="2272"/>
      <c r="AK742" s="2272"/>
      <c r="AL742" s="2273"/>
      <c r="AM742" s="2375" t="str">
        <f t="shared" si="49"/>
        <v xml:space="preserve"> </v>
      </c>
      <c r="AN742" s="2376"/>
      <c r="AO742" s="2377"/>
      <c r="AP742" s="238"/>
      <c r="AQ742" s="238"/>
      <c r="AR742" s="238"/>
      <c r="AS742" s="238"/>
      <c r="AT742" s="238"/>
      <c r="AU742" s="238"/>
      <c r="AV742" s="238"/>
      <c r="AW742" s="238"/>
      <c r="AX742" s="238"/>
      <c r="AY742" s="23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93"/>
      <c r="C743" s="2094"/>
      <c r="D743" s="2094"/>
      <c r="E743" s="2094"/>
      <c r="F743" s="2095"/>
      <c r="G743" s="2275"/>
      <c r="H743" s="2276"/>
      <c r="I743" s="2276"/>
      <c r="J743" s="2277"/>
      <c r="K743" s="2036"/>
      <c r="L743" s="2037"/>
      <c r="M743" s="2037"/>
      <c r="N743" s="2038"/>
      <c r="O743" s="2123"/>
      <c r="P743" s="2124"/>
      <c r="Q743" s="2124"/>
      <c r="R743" s="2124"/>
      <c r="S743" s="2125"/>
      <c r="T743" s="2033">
        <f t="shared" si="47"/>
        <v>0</v>
      </c>
      <c r="U743" s="2034"/>
      <c r="V743" s="2034"/>
      <c r="W743" s="2034"/>
      <c r="X743" s="2035"/>
      <c r="Y743" s="2123">
        <v>0</v>
      </c>
      <c r="Z743" s="2124"/>
      <c r="AA743" s="2124"/>
      <c r="AB743" s="2125"/>
      <c r="AC743" s="2033">
        <f t="shared" si="48"/>
        <v>0</v>
      </c>
      <c r="AD743" s="2034"/>
      <c r="AE743" s="2034"/>
      <c r="AF743" s="2034"/>
      <c r="AG743" s="2035"/>
      <c r="AH743" s="2271">
        <v>0</v>
      </c>
      <c r="AI743" s="2272"/>
      <c r="AJ743" s="2272"/>
      <c r="AK743" s="2272"/>
      <c r="AL743" s="2273"/>
      <c r="AM743" s="2375" t="str">
        <f t="shared" si="49"/>
        <v xml:space="preserve"> </v>
      </c>
      <c r="AN743" s="2376"/>
      <c r="AO743" s="2377"/>
      <c r="AP743" s="238"/>
      <c r="AQ743" s="238"/>
      <c r="AR743" s="238"/>
      <c r="AS743" s="238"/>
      <c r="AT743" s="238"/>
      <c r="AU743" s="238"/>
      <c r="AV743" s="238"/>
      <c r="AW743" s="238"/>
      <c r="AX743" s="238"/>
      <c r="AY743" s="23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93"/>
      <c r="C744" s="2094"/>
      <c r="D744" s="2094"/>
      <c r="E744" s="2094"/>
      <c r="F744" s="2095"/>
      <c r="G744" s="2275"/>
      <c r="H744" s="2276"/>
      <c r="I744" s="2276"/>
      <c r="J744" s="2277"/>
      <c r="K744" s="2036"/>
      <c r="L744" s="2037"/>
      <c r="M744" s="2037"/>
      <c r="N744" s="2038"/>
      <c r="O744" s="2123"/>
      <c r="P744" s="2124"/>
      <c r="Q744" s="2124"/>
      <c r="R744" s="2124"/>
      <c r="S744" s="2125"/>
      <c r="T744" s="2033">
        <f t="shared" si="47"/>
        <v>0</v>
      </c>
      <c r="U744" s="2034"/>
      <c r="V744" s="2034"/>
      <c r="W744" s="2034"/>
      <c r="X744" s="2035"/>
      <c r="Y744" s="2123">
        <v>0</v>
      </c>
      <c r="Z744" s="2124"/>
      <c r="AA744" s="2124"/>
      <c r="AB744" s="2125"/>
      <c r="AC744" s="2033">
        <f t="shared" si="48"/>
        <v>0</v>
      </c>
      <c r="AD744" s="2034"/>
      <c r="AE744" s="2034"/>
      <c r="AF744" s="2034"/>
      <c r="AG744" s="2035"/>
      <c r="AH744" s="2271">
        <v>0</v>
      </c>
      <c r="AI744" s="2272"/>
      <c r="AJ744" s="2272"/>
      <c r="AK744" s="2272"/>
      <c r="AL744" s="2273"/>
      <c r="AM744" s="2375" t="str">
        <f t="shared" si="49"/>
        <v xml:space="preserve"> </v>
      </c>
      <c r="AN744" s="2376"/>
      <c r="AO744" s="2377"/>
      <c r="AP744" s="238"/>
      <c r="AQ744" s="238"/>
      <c r="AR744" s="238"/>
      <c r="AS744" s="238"/>
      <c r="AT744" s="238"/>
      <c r="AU744" s="238"/>
      <c r="AV744" s="238"/>
      <c r="AW744" s="238"/>
      <c r="AX744" s="238"/>
      <c r="AY744" s="23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93"/>
      <c r="C745" s="2094"/>
      <c r="D745" s="2094"/>
      <c r="E745" s="2094"/>
      <c r="F745" s="2095"/>
      <c r="G745" s="2275"/>
      <c r="H745" s="2276"/>
      <c r="I745" s="2276"/>
      <c r="J745" s="2277"/>
      <c r="K745" s="2036"/>
      <c r="L745" s="2037"/>
      <c r="M745" s="2037"/>
      <c r="N745" s="2038"/>
      <c r="O745" s="2123"/>
      <c r="P745" s="2124"/>
      <c r="Q745" s="2124"/>
      <c r="R745" s="2124"/>
      <c r="S745" s="2125"/>
      <c r="T745" s="2033">
        <f t="shared" si="47"/>
        <v>0</v>
      </c>
      <c r="U745" s="2034"/>
      <c r="V745" s="2034"/>
      <c r="W745" s="2034"/>
      <c r="X745" s="2035"/>
      <c r="Y745" s="2123">
        <v>0</v>
      </c>
      <c r="Z745" s="2124"/>
      <c r="AA745" s="2124"/>
      <c r="AB745" s="2125"/>
      <c r="AC745" s="2033">
        <f t="shared" si="48"/>
        <v>0</v>
      </c>
      <c r="AD745" s="2034"/>
      <c r="AE745" s="2034"/>
      <c r="AF745" s="2034"/>
      <c r="AG745" s="2035"/>
      <c r="AH745" s="2271">
        <v>0</v>
      </c>
      <c r="AI745" s="2272"/>
      <c r="AJ745" s="2272"/>
      <c r="AK745" s="2272"/>
      <c r="AL745" s="2273"/>
      <c r="AM745" s="2375" t="str">
        <f t="shared" si="49"/>
        <v xml:space="preserve"> </v>
      </c>
      <c r="AN745" s="2376"/>
      <c r="AO745" s="2377"/>
      <c r="AP745" s="238"/>
      <c r="AQ745" s="238"/>
      <c r="AR745" s="238"/>
      <c r="AS745" s="238"/>
      <c r="AT745" s="238"/>
      <c r="AU745" s="238"/>
      <c r="AV745" s="238"/>
      <c r="AW745" s="238"/>
      <c r="AX745" s="238"/>
      <c r="AY745" s="23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93"/>
      <c r="C746" s="2094"/>
      <c r="D746" s="2094"/>
      <c r="E746" s="2094"/>
      <c r="F746" s="2095"/>
      <c r="G746" s="2275"/>
      <c r="H746" s="2276"/>
      <c r="I746" s="2276"/>
      <c r="J746" s="2277"/>
      <c r="K746" s="2036"/>
      <c r="L746" s="2037"/>
      <c r="M746" s="2037"/>
      <c r="N746" s="2038"/>
      <c r="O746" s="2123"/>
      <c r="P746" s="2124"/>
      <c r="Q746" s="2124"/>
      <c r="R746" s="2124"/>
      <c r="S746" s="2125"/>
      <c r="T746" s="2033">
        <f t="shared" si="47"/>
        <v>0</v>
      </c>
      <c r="U746" s="2034"/>
      <c r="V746" s="2034"/>
      <c r="W746" s="2034"/>
      <c r="X746" s="2035"/>
      <c r="Y746" s="2123">
        <v>0</v>
      </c>
      <c r="Z746" s="2124"/>
      <c r="AA746" s="2124"/>
      <c r="AB746" s="2125"/>
      <c r="AC746" s="2033">
        <f t="shared" si="48"/>
        <v>0</v>
      </c>
      <c r="AD746" s="2034"/>
      <c r="AE746" s="2034"/>
      <c r="AF746" s="2034"/>
      <c r="AG746" s="2035"/>
      <c r="AH746" s="2271">
        <v>0</v>
      </c>
      <c r="AI746" s="2272"/>
      <c r="AJ746" s="2272"/>
      <c r="AK746" s="2272"/>
      <c r="AL746" s="2273"/>
      <c r="AM746" s="2375" t="str">
        <f t="shared" si="49"/>
        <v xml:space="preserve"> </v>
      </c>
      <c r="AN746" s="2376"/>
      <c r="AO746" s="2377"/>
      <c r="AP746" s="238"/>
      <c r="AQ746" s="238"/>
      <c r="AR746" s="238"/>
      <c r="AS746" s="238"/>
      <c r="AT746" s="238"/>
      <c r="AU746" s="238"/>
      <c r="AV746" s="238"/>
      <c r="AW746" s="238"/>
      <c r="AX746" s="238"/>
      <c r="AY746" s="23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93"/>
      <c r="C747" s="2094"/>
      <c r="D747" s="2094"/>
      <c r="E747" s="2094"/>
      <c r="F747" s="2095"/>
      <c r="G747" s="2275"/>
      <c r="H747" s="2276"/>
      <c r="I747" s="2276"/>
      <c r="J747" s="2277"/>
      <c r="K747" s="2036"/>
      <c r="L747" s="2037"/>
      <c r="M747" s="2037"/>
      <c r="N747" s="2038"/>
      <c r="O747" s="2123"/>
      <c r="P747" s="2124"/>
      <c r="Q747" s="2124"/>
      <c r="R747" s="2124"/>
      <c r="S747" s="2125"/>
      <c r="T747" s="2033">
        <f t="shared" si="47"/>
        <v>0</v>
      </c>
      <c r="U747" s="2034"/>
      <c r="V747" s="2034"/>
      <c r="W747" s="2034"/>
      <c r="X747" s="2035"/>
      <c r="Y747" s="2123">
        <v>0</v>
      </c>
      <c r="Z747" s="2124"/>
      <c r="AA747" s="2124"/>
      <c r="AB747" s="2125"/>
      <c r="AC747" s="2033">
        <f t="shared" si="48"/>
        <v>0</v>
      </c>
      <c r="AD747" s="2034"/>
      <c r="AE747" s="2034"/>
      <c r="AF747" s="2034"/>
      <c r="AG747" s="2035"/>
      <c r="AH747" s="2271">
        <v>0</v>
      </c>
      <c r="AI747" s="2272"/>
      <c r="AJ747" s="2272"/>
      <c r="AK747" s="2272"/>
      <c r="AL747" s="2273"/>
      <c r="AM747" s="2375" t="str">
        <f t="shared" si="49"/>
        <v xml:space="preserve"> </v>
      </c>
      <c r="AN747" s="2376"/>
      <c r="AO747" s="2377"/>
      <c r="AP747" s="238"/>
      <c r="AQ747" s="238"/>
      <c r="AR747" s="238"/>
      <c r="AS747" s="238"/>
      <c r="AT747" s="238"/>
      <c r="AU747" s="238"/>
      <c r="AV747" s="238"/>
      <c r="AW747" s="238"/>
      <c r="AX747" s="238"/>
      <c r="AY747" s="23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93"/>
      <c r="C748" s="2094"/>
      <c r="D748" s="2094"/>
      <c r="E748" s="2094"/>
      <c r="F748" s="2095"/>
      <c r="G748" s="2275"/>
      <c r="H748" s="2276"/>
      <c r="I748" s="2276"/>
      <c r="J748" s="2277"/>
      <c r="K748" s="2036"/>
      <c r="L748" s="2037"/>
      <c r="M748" s="2037"/>
      <c r="N748" s="2038"/>
      <c r="O748" s="2123"/>
      <c r="P748" s="2124"/>
      <c r="Q748" s="2124"/>
      <c r="R748" s="2124"/>
      <c r="S748" s="2125"/>
      <c r="T748" s="2033">
        <f t="shared" si="47"/>
        <v>0</v>
      </c>
      <c r="U748" s="2034"/>
      <c r="V748" s="2034"/>
      <c r="W748" s="2034"/>
      <c r="X748" s="2035"/>
      <c r="Y748" s="2123">
        <v>0</v>
      </c>
      <c r="Z748" s="2124"/>
      <c r="AA748" s="2124"/>
      <c r="AB748" s="2125"/>
      <c r="AC748" s="2033">
        <f t="shared" si="48"/>
        <v>0</v>
      </c>
      <c r="AD748" s="2034"/>
      <c r="AE748" s="2034"/>
      <c r="AF748" s="2034"/>
      <c r="AG748" s="2035"/>
      <c r="AH748" s="2271">
        <v>0</v>
      </c>
      <c r="AI748" s="2272"/>
      <c r="AJ748" s="2272"/>
      <c r="AK748" s="2272"/>
      <c r="AL748" s="2273"/>
      <c r="AM748" s="2375" t="str">
        <f t="shared" si="49"/>
        <v xml:space="preserve"> </v>
      </c>
      <c r="AN748" s="2376"/>
      <c r="AO748" s="2377"/>
      <c r="AP748" s="238"/>
      <c r="AQ748" s="238"/>
      <c r="AR748" s="238"/>
      <c r="AS748" s="238"/>
      <c r="AT748" s="238"/>
      <c r="AU748" s="238"/>
      <c r="AV748" s="238"/>
      <c r="AW748" s="238"/>
      <c r="AX748" s="238"/>
      <c r="AY748" s="23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93"/>
      <c r="C749" s="2094"/>
      <c r="D749" s="2094"/>
      <c r="E749" s="2094"/>
      <c r="F749" s="2095"/>
      <c r="G749" s="2275"/>
      <c r="H749" s="2276"/>
      <c r="I749" s="2276"/>
      <c r="J749" s="2277"/>
      <c r="K749" s="2036"/>
      <c r="L749" s="2037"/>
      <c r="M749" s="2037"/>
      <c r="N749" s="2038"/>
      <c r="O749" s="2123"/>
      <c r="P749" s="2124"/>
      <c r="Q749" s="2124"/>
      <c r="R749" s="2124"/>
      <c r="S749" s="2125"/>
      <c r="T749" s="2033">
        <f t="shared" si="47"/>
        <v>0</v>
      </c>
      <c r="U749" s="2034"/>
      <c r="V749" s="2034"/>
      <c r="W749" s="2034"/>
      <c r="X749" s="2035"/>
      <c r="Y749" s="2123">
        <v>0</v>
      </c>
      <c r="Z749" s="2124"/>
      <c r="AA749" s="2124"/>
      <c r="AB749" s="2125"/>
      <c r="AC749" s="2033">
        <f t="shared" si="48"/>
        <v>0</v>
      </c>
      <c r="AD749" s="2034"/>
      <c r="AE749" s="2034"/>
      <c r="AF749" s="2034"/>
      <c r="AG749" s="2035"/>
      <c r="AH749" s="2271">
        <v>0</v>
      </c>
      <c r="AI749" s="2272"/>
      <c r="AJ749" s="2272"/>
      <c r="AK749" s="2272"/>
      <c r="AL749" s="2273"/>
      <c r="AM749" s="2375" t="str">
        <f t="shared" si="49"/>
        <v xml:space="preserve"> </v>
      </c>
      <c r="AN749" s="2376"/>
      <c r="AO749" s="2377"/>
      <c r="AP749" s="238"/>
      <c r="AQ749" s="238"/>
      <c r="AR749" s="238"/>
      <c r="AS749" s="238"/>
      <c r="AT749" s="238"/>
      <c r="AU749" s="238"/>
      <c r="AV749" s="238"/>
      <c r="AW749" s="238"/>
      <c r="AX749" s="238"/>
      <c r="AY749" s="23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93"/>
      <c r="C750" s="2094"/>
      <c r="D750" s="2094"/>
      <c r="E750" s="2094"/>
      <c r="F750" s="2095"/>
      <c r="G750" s="2275"/>
      <c r="H750" s="2276"/>
      <c r="I750" s="2276"/>
      <c r="J750" s="2277"/>
      <c r="K750" s="2036"/>
      <c r="L750" s="2037"/>
      <c r="M750" s="2037"/>
      <c r="N750" s="2038"/>
      <c r="O750" s="2123"/>
      <c r="P750" s="2124"/>
      <c r="Q750" s="2124"/>
      <c r="R750" s="2124"/>
      <c r="S750" s="2125"/>
      <c r="T750" s="2033">
        <f t="shared" si="47"/>
        <v>0</v>
      </c>
      <c r="U750" s="2034"/>
      <c r="V750" s="2034"/>
      <c r="W750" s="2034"/>
      <c r="X750" s="2035"/>
      <c r="Y750" s="2123">
        <v>0</v>
      </c>
      <c r="Z750" s="2124"/>
      <c r="AA750" s="2124"/>
      <c r="AB750" s="2125"/>
      <c r="AC750" s="2033">
        <f t="shared" si="48"/>
        <v>0</v>
      </c>
      <c r="AD750" s="2034"/>
      <c r="AE750" s="2034"/>
      <c r="AF750" s="2034"/>
      <c r="AG750" s="2035"/>
      <c r="AH750" s="2271">
        <v>0</v>
      </c>
      <c r="AI750" s="2272"/>
      <c r="AJ750" s="2272"/>
      <c r="AK750" s="2272"/>
      <c r="AL750" s="2273"/>
      <c r="AM750" s="2375" t="str">
        <f t="shared" si="49"/>
        <v xml:space="preserve"> </v>
      </c>
      <c r="AN750" s="2376"/>
      <c r="AO750" s="2377"/>
      <c r="AP750" s="238"/>
      <c r="AQ750" s="238"/>
      <c r="AR750" s="238"/>
      <c r="AS750" s="238"/>
      <c r="AT750" s="238"/>
      <c r="AU750" s="238"/>
      <c r="AV750" s="238"/>
      <c r="AW750" s="238"/>
      <c r="AX750" s="238"/>
      <c r="AY750" s="23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9" customHeight="1">
      <c r="B751" s="2093"/>
      <c r="C751" s="2094"/>
      <c r="D751" s="2094"/>
      <c r="E751" s="2094"/>
      <c r="F751" s="2095"/>
      <c r="G751" s="2275"/>
      <c r="H751" s="2276"/>
      <c r="I751" s="2276"/>
      <c r="J751" s="2277"/>
      <c r="K751" s="2036"/>
      <c r="L751" s="2037"/>
      <c r="M751" s="2037"/>
      <c r="N751" s="2038"/>
      <c r="O751" s="2123"/>
      <c r="P751" s="2124"/>
      <c r="Q751" s="2124"/>
      <c r="R751" s="2124"/>
      <c r="S751" s="2125"/>
      <c r="T751" s="2033">
        <f t="shared" si="47"/>
        <v>0</v>
      </c>
      <c r="U751" s="2034"/>
      <c r="V751" s="2034"/>
      <c r="W751" s="2034"/>
      <c r="X751" s="2035"/>
      <c r="Y751" s="2123">
        <v>0</v>
      </c>
      <c r="Z751" s="2124"/>
      <c r="AA751" s="2124"/>
      <c r="AB751" s="2125"/>
      <c r="AC751" s="2033">
        <f t="shared" si="48"/>
        <v>0</v>
      </c>
      <c r="AD751" s="2034"/>
      <c r="AE751" s="2034"/>
      <c r="AF751" s="2034"/>
      <c r="AG751" s="2035"/>
      <c r="AH751" s="2271">
        <v>0</v>
      </c>
      <c r="AI751" s="2272"/>
      <c r="AJ751" s="2272"/>
      <c r="AK751" s="2272"/>
      <c r="AL751" s="2273"/>
      <c r="AM751" s="2375" t="str">
        <f t="shared" si="49"/>
        <v xml:space="preserve"> </v>
      </c>
      <c r="AN751" s="2376"/>
      <c r="AO751" s="2377"/>
      <c r="AP751" s="238"/>
      <c r="AQ751" s="238"/>
      <c r="AR751" s="238"/>
      <c r="AS751" s="238"/>
      <c r="AT751" s="238"/>
      <c r="AU751" s="238"/>
      <c r="AV751" s="238"/>
      <c r="AW751" s="238"/>
      <c r="AX751" s="238"/>
      <c r="AY751" s="23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93"/>
      <c r="C752" s="2094"/>
      <c r="D752" s="2094"/>
      <c r="E752" s="2094"/>
      <c r="F752" s="2095"/>
      <c r="G752" s="2275"/>
      <c r="H752" s="2276"/>
      <c r="I752" s="2276"/>
      <c r="J752" s="2277"/>
      <c r="K752" s="2036"/>
      <c r="L752" s="2037"/>
      <c r="M752" s="2037"/>
      <c r="N752" s="2038"/>
      <c r="O752" s="2123"/>
      <c r="P752" s="2124"/>
      <c r="Q752" s="2124"/>
      <c r="R752" s="2124"/>
      <c r="S752" s="2125"/>
      <c r="T752" s="2033">
        <f t="shared" si="47"/>
        <v>0</v>
      </c>
      <c r="U752" s="2034"/>
      <c r="V752" s="2034"/>
      <c r="W752" s="2034"/>
      <c r="X752" s="2035"/>
      <c r="Y752" s="2123">
        <v>0</v>
      </c>
      <c r="Z752" s="2124"/>
      <c r="AA752" s="2124"/>
      <c r="AB752" s="2125"/>
      <c r="AC752" s="2033">
        <f t="shared" si="48"/>
        <v>0</v>
      </c>
      <c r="AD752" s="2034"/>
      <c r="AE752" s="2034"/>
      <c r="AF752" s="2034"/>
      <c r="AG752" s="2035"/>
      <c r="AH752" s="2271">
        <v>0</v>
      </c>
      <c r="AI752" s="2272"/>
      <c r="AJ752" s="2272"/>
      <c r="AK752" s="2272"/>
      <c r="AL752" s="2273"/>
      <c r="AM752" s="2375" t="str">
        <f t="shared" si="49"/>
        <v xml:space="preserve"> </v>
      </c>
      <c r="AN752" s="2376"/>
      <c r="AO752" s="2377"/>
      <c r="AP752" s="238"/>
      <c r="AQ752" s="238"/>
      <c r="AR752" s="238"/>
      <c r="AS752" s="238"/>
      <c r="AT752" s="238"/>
      <c r="AU752" s="238"/>
      <c r="AV752" s="238"/>
      <c r="AW752" s="238"/>
      <c r="AX752" s="238"/>
      <c r="AY752" s="23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8" t="s">
        <v>130</v>
      </c>
      <c r="C753" s="2189"/>
      <c r="D753" s="2189"/>
      <c r="E753" s="2189"/>
      <c r="F753" s="2191"/>
      <c r="G753" s="2268">
        <f>SUM(G728:J752)</f>
        <v>64</v>
      </c>
      <c r="H753" s="2269"/>
      <c r="I753" s="2269"/>
      <c r="J753" s="2270"/>
      <c r="O753" s="1584" t="s">
        <v>129</v>
      </c>
      <c r="P753" s="1585"/>
      <c r="Q753" s="1585"/>
      <c r="R753" s="1585"/>
      <c r="S753" s="1586"/>
      <c r="T753" s="2033">
        <f>SUM(T728:X752)</f>
        <v>50258</v>
      </c>
      <c r="U753" s="2034"/>
      <c r="V753" s="2034"/>
      <c r="W753" s="2034"/>
      <c r="X753" s="2035"/>
      <c r="AC753" s="1588" t="s">
        <v>968</v>
      </c>
      <c r="AD753" s="1587"/>
      <c r="AE753" s="1587"/>
      <c r="AF753" s="1587"/>
      <c r="AG753" s="1589"/>
      <c r="AH753" s="2416">
        <f>BI696</f>
        <v>0.47968749999999993</v>
      </c>
      <c r="AI753" s="2417"/>
      <c r="AJ753" s="2417"/>
      <c r="AK753" s="2417"/>
      <c r="AL753" s="2418"/>
      <c r="AM753" s="2416">
        <f>BI728</f>
        <v>0.4797398502674412</v>
      </c>
      <c r="AN753" s="2417"/>
      <c r="AO753" s="2418"/>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0"/>
      <c r="Q754" s="280"/>
      <c r="R754" s="280"/>
      <c r="S754" s="280"/>
      <c r="T754" s="280"/>
      <c r="Y754" s="493"/>
      <c r="Z754" s="493"/>
      <c r="AA754" s="493"/>
      <c r="AB754" s="493"/>
      <c r="AC754" s="493"/>
      <c r="AD754" s="494"/>
      <c r="AE754" s="495"/>
      <c r="AF754" s="495"/>
      <c r="AG754" s="495"/>
      <c r="AH754" s="495"/>
      <c r="AL754" s="58"/>
      <c r="AM754" s="238"/>
      <c r="AN754" s="238"/>
      <c r="AO754" s="238"/>
      <c r="AP754" s="238"/>
      <c r="AQ754" s="238"/>
      <c r="AR754" s="238"/>
      <c r="AS754" s="238"/>
      <c r="AT754" s="238"/>
      <c r="AU754" s="238"/>
      <c r="AV754" s="238"/>
      <c r="AW754" s="238"/>
      <c r="AX754" s="238"/>
      <c r="AY754" s="23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2"/>
      <c r="H755" s="492"/>
      <c r="I755" s="492"/>
      <c r="J755" s="492"/>
      <c r="K755" s="89"/>
      <c r="L755" s="89"/>
      <c r="M755" s="89"/>
      <c r="N755" s="89"/>
      <c r="O755" s="89"/>
      <c r="P755" s="280"/>
      <c r="Q755" s="280"/>
      <c r="R755" s="280"/>
      <c r="S755" s="280"/>
      <c r="T755" s="280"/>
      <c r="Y755" s="493"/>
      <c r="Z755" s="493"/>
      <c r="AA755" s="493"/>
      <c r="AB755" s="493"/>
      <c r="AC755" s="493"/>
      <c r="AD755" s="494"/>
      <c r="AE755" s="495"/>
      <c r="AF755" s="2427" t="s">
        <v>625</v>
      </c>
      <c r="AG755" s="2427"/>
      <c r="AH755" s="2427"/>
      <c r="AL755" s="58"/>
      <c r="AM755" s="238"/>
      <c r="AN755" s="238"/>
      <c r="AO755" s="238"/>
      <c r="AP755" s="238"/>
      <c r="AQ755" s="238"/>
      <c r="AR755" s="238"/>
      <c r="AS755" s="238"/>
      <c r="AT755" s="238"/>
      <c r="AU755" s="238"/>
      <c r="AV755" s="238"/>
      <c r="AW755" s="238"/>
      <c r="AX755" s="238"/>
      <c r="AY755" s="238"/>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2"/>
      <c r="H756" s="492"/>
      <c r="I756" s="492"/>
      <c r="J756" s="492"/>
      <c r="K756" s="89"/>
      <c r="L756" s="89"/>
      <c r="M756" s="89"/>
      <c r="N756" s="89"/>
      <c r="O756" s="89"/>
      <c r="P756" s="280"/>
      <c r="Q756" s="280"/>
      <c r="R756" s="280"/>
      <c r="S756" s="280"/>
      <c r="T756" s="280"/>
      <c r="Y756" s="493"/>
      <c r="Z756" s="493"/>
      <c r="AA756" s="493"/>
      <c r="AB756" s="493"/>
      <c r="AC756" s="493"/>
      <c r="AD756" s="494"/>
      <c r="AE756" s="495"/>
      <c r="AF756" s="495"/>
      <c r="AG756" s="495"/>
      <c r="AH756" s="495"/>
      <c r="AL756" s="58"/>
      <c r="AM756" s="238"/>
      <c r="AN756" s="238"/>
      <c r="AO756" s="238"/>
      <c r="AP756" s="238"/>
      <c r="AQ756" s="238"/>
      <c r="AR756" s="238"/>
      <c r="AS756" s="238"/>
      <c r="AT756" s="238"/>
      <c r="AU756" s="238"/>
      <c r="AV756" s="238"/>
      <c r="AW756" s="238"/>
      <c r="AX756" s="238"/>
      <c r="AY756" s="23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2"/>
      <c r="H757" s="492"/>
      <c r="I757" s="492"/>
      <c r="J757" s="492"/>
      <c r="K757" s="89"/>
      <c r="L757" s="89"/>
      <c r="M757" s="89"/>
      <c r="N757" s="89"/>
      <c r="O757" s="89"/>
      <c r="P757" s="280"/>
      <c r="Q757" s="280"/>
      <c r="R757" s="280"/>
      <c r="S757" s="280"/>
      <c r="T757" s="280"/>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9"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28" t="s">
        <v>406</v>
      </c>
      <c r="K768" s="2129"/>
      <c r="L768" s="2129"/>
      <c r="M768" s="2129"/>
      <c r="N768" s="2130"/>
      <c r="O768" s="2306" t="s">
        <v>290</v>
      </c>
      <c r="P768" s="2306"/>
      <c r="Q768" s="2306"/>
      <c r="R768" s="2306"/>
      <c r="S768" s="2306"/>
      <c r="T768" s="2351" t="s">
        <v>2154</v>
      </c>
      <c r="U768" s="2352"/>
      <c r="V768" s="2352"/>
      <c r="W768" s="2353"/>
      <c r="X768" s="2128" t="s">
        <v>477</v>
      </c>
      <c r="Y768" s="2129"/>
      <c r="Z768" s="2129"/>
      <c r="AA768" s="2129"/>
      <c r="AB768" s="2130"/>
      <c r="AC768" s="2128" t="s">
        <v>291</v>
      </c>
      <c r="AD768" s="2129"/>
      <c r="AE768" s="2129"/>
      <c r="AF768" s="2129"/>
      <c r="AG768" s="2130"/>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31"/>
      <c r="K769" s="2132"/>
      <c r="L769" s="2132"/>
      <c r="M769" s="2132"/>
      <c r="N769" s="2133"/>
      <c r="O769" s="2306"/>
      <c r="P769" s="2306"/>
      <c r="Q769" s="2306"/>
      <c r="R769" s="2306"/>
      <c r="S769" s="2306"/>
      <c r="T769" s="2354"/>
      <c r="U769" s="2355"/>
      <c r="V769" s="2355"/>
      <c r="W769" s="2356"/>
      <c r="X769" s="2131"/>
      <c r="Y769" s="2132"/>
      <c r="Z769" s="2132"/>
      <c r="AA769" s="2132"/>
      <c r="AB769" s="2133"/>
      <c r="AC769" s="2131"/>
      <c r="AD769" s="2132"/>
      <c r="AE769" s="2132"/>
      <c r="AF769" s="2132"/>
      <c r="AG769" s="2133"/>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31"/>
      <c r="K770" s="2132"/>
      <c r="L770" s="2132"/>
      <c r="M770" s="2132"/>
      <c r="N770" s="2133"/>
      <c r="O770" s="2306"/>
      <c r="P770" s="2306"/>
      <c r="Q770" s="2306"/>
      <c r="R770" s="2306"/>
      <c r="S770" s="2306"/>
      <c r="T770" s="2354"/>
      <c r="U770" s="2355"/>
      <c r="V770" s="2355"/>
      <c r="W770" s="2356"/>
      <c r="X770" s="2131"/>
      <c r="Y770" s="2132"/>
      <c r="Z770" s="2132"/>
      <c r="AA770" s="2132"/>
      <c r="AB770" s="2133"/>
      <c r="AC770" s="2131"/>
      <c r="AD770" s="2132"/>
      <c r="AE770" s="2132"/>
      <c r="AF770" s="2132"/>
      <c r="AG770" s="2133"/>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34"/>
      <c r="K771" s="2135"/>
      <c r="L771" s="2135"/>
      <c r="M771" s="2135"/>
      <c r="N771" s="2136"/>
      <c r="O771" s="2306"/>
      <c r="P771" s="2306"/>
      <c r="Q771" s="2306"/>
      <c r="R771" s="2306"/>
      <c r="S771" s="2306"/>
      <c r="T771" s="2420"/>
      <c r="U771" s="2421"/>
      <c r="V771" s="2421"/>
      <c r="W771" s="2422"/>
      <c r="X771" s="2134"/>
      <c r="Y771" s="2135"/>
      <c r="Z771" s="2135"/>
      <c r="AA771" s="2135"/>
      <c r="AB771" s="2136"/>
      <c r="AC771" s="2134"/>
      <c r="AD771" s="2135"/>
      <c r="AE771" s="2135"/>
      <c r="AF771" s="2135"/>
      <c r="AG771" s="2136"/>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93" t="s">
        <v>168</v>
      </c>
      <c r="K772" s="2094"/>
      <c r="L772" s="2094"/>
      <c r="M772" s="2094"/>
      <c r="N772" s="2095"/>
      <c r="O772" s="2084">
        <v>1</v>
      </c>
      <c r="P772" s="2084"/>
      <c r="Q772" s="2084"/>
      <c r="R772" s="2084"/>
      <c r="S772" s="2084"/>
      <c r="T772" s="2036">
        <v>872</v>
      </c>
      <c r="U772" s="2037"/>
      <c r="V772" s="2037"/>
      <c r="W772" s="2038"/>
      <c r="X772" s="2278" t="s">
        <v>2605</v>
      </c>
      <c r="Y772" s="2124"/>
      <c r="Z772" s="2124"/>
      <c r="AA772" s="2124"/>
      <c r="AB772" s="2125"/>
      <c r="AC772" s="2033">
        <f>X772*O772</f>
        <v>0</v>
      </c>
      <c r="AD772" s="2034"/>
      <c r="AE772" s="2034"/>
      <c r="AF772" s="2034"/>
      <c r="AG772" s="2035"/>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93"/>
      <c r="K773" s="2094"/>
      <c r="L773" s="2094"/>
      <c r="M773" s="2094"/>
      <c r="N773" s="2095"/>
      <c r="O773" s="2084"/>
      <c r="P773" s="2084"/>
      <c r="Q773" s="2084"/>
      <c r="R773" s="2084"/>
      <c r="S773" s="2084"/>
      <c r="T773" s="2036"/>
      <c r="U773" s="2037"/>
      <c r="V773" s="2037"/>
      <c r="W773" s="2038"/>
      <c r="X773" s="2123"/>
      <c r="Y773" s="2124"/>
      <c r="Z773" s="2124"/>
      <c r="AA773" s="2124"/>
      <c r="AB773" s="2125"/>
      <c r="AC773" s="2033">
        <f>X773*O773</f>
        <v>0</v>
      </c>
      <c r="AD773" s="2034"/>
      <c r="AE773" s="2034"/>
      <c r="AF773" s="2034"/>
      <c r="AG773" s="2035"/>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93"/>
      <c r="K774" s="2094"/>
      <c r="L774" s="2094"/>
      <c r="M774" s="2094"/>
      <c r="N774" s="2095"/>
      <c r="O774" s="2084"/>
      <c r="P774" s="2084"/>
      <c r="Q774" s="2084"/>
      <c r="R774" s="2084"/>
      <c r="S774" s="2084"/>
      <c r="T774" s="2036"/>
      <c r="U774" s="2037"/>
      <c r="V774" s="2037"/>
      <c r="W774" s="2038"/>
      <c r="X774" s="2123"/>
      <c r="Y774" s="2124"/>
      <c r="Z774" s="2124"/>
      <c r="AA774" s="2124"/>
      <c r="AB774" s="2125"/>
      <c r="AC774" s="2033">
        <f>X774*O774</f>
        <v>0</v>
      </c>
      <c r="AD774" s="2034"/>
      <c r="AE774" s="2034"/>
      <c r="AF774" s="2034"/>
      <c r="AG774" s="2035"/>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93"/>
      <c r="K775" s="2094"/>
      <c r="L775" s="2094"/>
      <c r="M775" s="2094"/>
      <c r="N775" s="2095"/>
      <c r="O775" s="2084"/>
      <c r="P775" s="2084"/>
      <c r="Q775" s="2084"/>
      <c r="R775" s="2084"/>
      <c r="S775" s="2084"/>
      <c r="T775" s="2036"/>
      <c r="U775" s="2037"/>
      <c r="V775" s="2037"/>
      <c r="W775" s="2038"/>
      <c r="X775" s="2123"/>
      <c r="Y775" s="2124"/>
      <c r="Z775" s="2124"/>
      <c r="AA775" s="2124"/>
      <c r="AB775" s="2125"/>
      <c r="AC775" s="2033">
        <f>X775*O775</f>
        <v>0</v>
      </c>
      <c r="AD775" s="2034"/>
      <c r="AE775" s="2034"/>
      <c r="AF775" s="2034"/>
      <c r="AG775" s="2035"/>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8" t="s">
        <v>130</v>
      </c>
      <c r="K776" s="2189"/>
      <c r="L776" s="2189"/>
      <c r="M776" s="2189"/>
      <c r="N776" s="2191"/>
      <c r="O776" s="2424">
        <f>SUM(O772:S775)</f>
        <v>1</v>
      </c>
      <c r="P776" s="2425"/>
      <c r="Q776" s="2425"/>
      <c r="R776" s="2425"/>
      <c r="S776" s="2426"/>
      <c r="X776" s="2308" t="s">
        <v>129</v>
      </c>
      <c r="Y776" s="2309"/>
      <c r="Z776" s="2309"/>
      <c r="AA776" s="2309"/>
      <c r="AB776" s="2310"/>
      <c r="AC776" s="2033">
        <f>SUM(AC772:AG775)</f>
        <v>0</v>
      </c>
      <c r="AD776" s="2034"/>
      <c r="AE776" s="2034"/>
      <c r="AF776" s="2034"/>
      <c r="AG776" s="2035"/>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0"/>
      <c r="Z777" s="281"/>
      <c r="AA777" s="281"/>
      <c r="AB777" s="281"/>
      <c r="AC777" s="281"/>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8" t="s">
        <v>705</v>
      </c>
      <c r="K778" s="2028"/>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28" t="s">
        <v>406</v>
      </c>
      <c r="K782" s="2129"/>
      <c r="L782" s="2129"/>
      <c r="M782" s="2129"/>
      <c r="N782" s="2130"/>
      <c r="O782" s="2306" t="s">
        <v>290</v>
      </c>
      <c r="P782" s="2306"/>
      <c r="Q782" s="2306"/>
      <c r="R782" s="2306"/>
      <c r="S782" s="2306"/>
      <c r="T782" s="2351" t="s">
        <v>2154</v>
      </c>
      <c r="U782" s="2352"/>
      <c r="V782" s="2352"/>
      <c r="W782" s="2353"/>
      <c r="X782" s="2128" t="s">
        <v>477</v>
      </c>
      <c r="Y782" s="2129"/>
      <c r="Z782" s="2129"/>
      <c r="AA782" s="2129"/>
      <c r="AB782" s="2130"/>
      <c r="AC782" s="2128" t="s">
        <v>291</v>
      </c>
      <c r="AD782" s="2129"/>
      <c r="AE782" s="2129"/>
      <c r="AF782" s="2129"/>
      <c r="AG782" s="2130"/>
      <c r="AH782" s="2423" t="s">
        <v>2394</v>
      </c>
      <c r="AI782" s="2129"/>
      <c r="AJ782" s="2129"/>
      <c r="AK782" s="2129"/>
      <c r="AL782" s="213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31"/>
      <c r="K783" s="2132"/>
      <c r="L783" s="2132"/>
      <c r="M783" s="2132"/>
      <c r="N783" s="2133"/>
      <c r="O783" s="2306"/>
      <c r="P783" s="2306"/>
      <c r="Q783" s="2306"/>
      <c r="R783" s="2306"/>
      <c r="S783" s="2306"/>
      <c r="T783" s="2354"/>
      <c r="U783" s="2355"/>
      <c r="V783" s="2355"/>
      <c r="W783" s="2356"/>
      <c r="X783" s="2131"/>
      <c r="Y783" s="2132"/>
      <c r="Z783" s="2132"/>
      <c r="AA783" s="2132"/>
      <c r="AB783" s="2133"/>
      <c r="AC783" s="2131"/>
      <c r="AD783" s="2132"/>
      <c r="AE783" s="2132"/>
      <c r="AF783" s="2132"/>
      <c r="AG783" s="2133"/>
      <c r="AH783" s="2131"/>
      <c r="AI783" s="2132"/>
      <c r="AJ783" s="2132"/>
      <c r="AK783" s="2132"/>
      <c r="AL783" s="213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31"/>
      <c r="K784" s="2132"/>
      <c r="L784" s="2132"/>
      <c r="M784" s="2132"/>
      <c r="N784" s="2133"/>
      <c r="O784" s="2306"/>
      <c r="P784" s="2306"/>
      <c r="Q784" s="2306"/>
      <c r="R784" s="2306"/>
      <c r="S784" s="2306"/>
      <c r="T784" s="2354"/>
      <c r="U784" s="2355"/>
      <c r="V784" s="2355"/>
      <c r="W784" s="2356"/>
      <c r="X784" s="2131"/>
      <c r="Y784" s="2132"/>
      <c r="Z784" s="2132"/>
      <c r="AA784" s="2132"/>
      <c r="AB784" s="2133"/>
      <c r="AC784" s="2131"/>
      <c r="AD784" s="2132"/>
      <c r="AE784" s="2132"/>
      <c r="AF784" s="2132"/>
      <c r="AG784" s="2133"/>
      <c r="AH784" s="2131"/>
      <c r="AI784" s="2132"/>
      <c r="AJ784" s="2132"/>
      <c r="AK784" s="2132"/>
      <c r="AL784" s="213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34"/>
      <c r="K785" s="2135"/>
      <c r="L785" s="2135"/>
      <c r="M785" s="2135"/>
      <c r="N785" s="2136"/>
      <c r="O785" s="2306"/>
      <c r="P785" s="2306"/>
      <c r="Q785" s="2306"/>
      <c r="R785" s="2306"/>
      <c r="S785" s="2306"/>
      <c r="T785" s="2420"/>
      <c r="U785" s="2421"/>
      <c r="V785" s="2421"/>
      <c r="W785" s="2422"/>
      <c r="X785" s="2134"/>
      <c r="Y785" s="2135"/>
      <c r="Z785" s="2135"/>
      <c r="AA785" s="2135"/>
      <c r="AB785" s="2136"/>
      <c r="AC785" s="2134"/>
      <c r="AD785" s="2135"/>
      <c r="AE785" s="2135"/>
      <c r="AF785" s="2135"/>
      <c r="AG785" s="2136"/>
      <c r="AH785" s="2134"/>
      <c r="AI785" s="2135"/>
      <c r="AJ785" s="2135"/>
      <c r="AK785" s="2135"/>
      <c r="AL785" s="213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93"/>
      <c r="K786" s="2094"/>
      <c r="L786" s="2094"/>
      <c r="M786" s="2094"/>
      <c r="N786" s="2095"/>
      <c r="O786" s="2084"/>
      <c r="P786" s="2084"/>
      <c r="Q786" s="2084"/>
      <c r="R786" s="2084"/>
      <c r="S786" s="2084"/>
      <c r="T786" s="2036"/>
      <c r="U786" s="2037"/>
      <c r="V786" s="2037"/>
      <c r="W786" s="2038"/>
      <c r="X786" s="2123"/>
      <c r="Y786" s="2124"/>
      <c r="Z786" s="2124"/>
      <c r="AA786" s="2124"/>
      <c r="AB786" s="2125"/>
      <c r="AC786" s="2033">
        <f t="shared" ref="AC786:AC795" si="50">X786*O786</f>
        <v>0</v>
      </c>
      <c r="AD786" s="2034"/>
      <c r="AE786" s="2034"/>
      <c r="AF786" s="2034"/>
      <c r="AG786" s="2035"/>
      <c r="AH786" s="2271"/>
      <c r="AI786" s="2272"/>
      <c r="AJ786" s="2272"/>
      <c r="AK786" s="2272"/>
      <c r="AL786" s="227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93"/>
      <c r="K787" s="2094"/>
      <c r="L787" s="2094"/>
      <c r="M787" s="2094"/>
      <c r="N787" s="2095"/>
      <c r="O787" s="2084"/>
      <c r="P787" s="2084"/>
      <c r="Q787" s="2084"/>
      <c r="R787" s="2084"/>
      <c r="S787" s="2084"/>
      <c r="T787" s="2036"/>
      <c r="U787" s="2037"/>
      <c r="V787" s="2037"/>
      <c r="W787" s="2038"/>
      <c r="X787" s="2123"/>
      <c r="Y787" s="2124"/>
      <c r="Z787" s="2124"/>
      <c r="AA787" s="2124"/>
      <c r="AB787" s="2125"/>
      <c r="AC787" s="2033">
        <f t="shared" si="50"/>
        <v>0</v>
      </c>
      <c r="AD787" s="2034"/>
      <c r="AE787" s="2034"/>
      <c r="AF787" s="2034"/>
      <c r="AG787" s="2035"/>
      <c r="AH787" s="2271"/>
      <c r="AI787" s="2272"/>
      <c r="AJ787" s="2272"/>
      <c r="AK787" s="2272"/>
      <c r="AL787" s="227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93"/>
      <c r="K788" s="2094"/>
      <c r="L788" s="2094"/>
      <c r="M788" s="2094"/>
      <c r="N788" s="2095"/>
      <c r="O788" s="2084"/>
      <c r="P788" s="2084"/>
      <c r="Q788" s="2084"/>
      <c r="R788" s="2084"/>
      <c r="S788" s="2084"/>
      <c r="T788" s="2036"/>
      <c r="U788" s="2037"/>
      <c r="V788" s="2037"/>
      <c r="W788" s="2038"/>
      <c r="X788" s="2123"/>
      <c r="Y788" s="2124"/>
      <c r="Z788" s="2124"/>
      <c r="AA788" s="2124"/>
      <c r="AB788" s="2125"/>
      <c r="AC788" s="2033">
        <f t="shared" si="50"/>
        <v>0</v>
      </c>
      <c r="AD788" s="2034"/>
      <c r="AE788" s="2034"/>
      <c r="AF788" s="2034"/>
      <c r="AG788" s="2035"/>
      <c r="AH788" s="2271"/>
      <c r="AI788" s="2272"/>
      <c r="AJ788" s="2272"/>
      <c r="AK788" s="2272"/>
      <c r="AL788" s="227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93"/>
      <c r="K789" s="2094"/>
      <c r="L789" s="2094"/>
      <c r="M789" s="2094"/>
      <c r="N789" s="2095"/>
      <c r="O789" s="2084"/>
      <c r="P789" s="2084"/>
      <c r="Q789" s="2084"/>
      <c r="R789" s="2084"/>
      <c r="S789" s="2084"/>
      <c r="T789" s="2036"/>
      <c r="U789" s="2037"/>
      <c r="V789" s="2037"/>
      <c r="W789" s="2038"/>
      <c r="X789" s="2123"/>
      <c r="Y789" s="2124"/>
      <c r="Z789" s="2124"/>
      <c r="AA789" s="2124"/>
      <c r="AB789" s="2125"/>
      <c r="AC789" s="2033">
        <f t="shared" si="50"/>
        <v>0</v>
      </c>
      <c r="AD789" s="2034"/>
      <c r="AE789" s="2034"/>
      <c r="AF789" s="2034"/>
      <c r="AG789" s="2035"/>
      <c r="AH789" s="2271"/>
      <c r="AI789" s="2272"/>
      <c r="AJ789" s="2272"/>
      <c r="AK789" s="2272"/>
      <c r="AL789" s="227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93"/>
      <c r="K790" s="2094"/>
      <c r="L790" s="2094"/>
      <c r="M790" s="2094"/>
      <c r="N790" s="2095"/>
      <c r="O790" s="2084"/>
      <c r="P790" s="2084"/>
      <c r="Q790" s="2084"/>
      <c r="R790" s="2084"/>
      <c r="S790" s="2084"/>
      <c r="T790" s="2036"/>
      <c r="U790" s="2037"/>
      <c r="V790" s="2037"/>
      <c r="W790" s="2038"/>
      <c r="X790" s="2123"/>
      <c r="Y790" s="2124"/>
      <c r="Z790" s="2124"/>
      <c r="AA790" s="2124"/>
      <c r="AB790" s="2125"/>
      <c r="AC790" s="2033">
        <f t="shared" si="50"/>
        <v>0</v>
      </c>
      <c r="AD790" s="2034"/>
      <c r="AE790" s="2034"/>
      <c r="AF790" s="2034"/>
      <c r="AG790" s="2035"/>
      <c r="AH790" s="2271"/>
      <c r="AI790" s="2272"/>
      <c r="AJ790" s="2272"/>
      <c r="AK790" s="2272"/>
      <c r="AL790" s="227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93"/>
      <c r="K791" s="2094"/>
      <c r="L791" s="2094"/>
      <c r="M791" s="2094"/>
      <c r="N791" s="2095"/>
      <c r="O791" s="2084"/>
      <c r="P791" s="2084"/>
      <c r="Q791" s="2084"/>
      <c r="R791" s="2084"/>
      <c r="S791" s="2084"/>
      <c r="T791" s="2036"/>
      <c r="U791" s="2037"/>
      <c r="V791" s="2037"/>
      <c r="W791" s="2038"/>
      <c r="X791" s="2123"/>
      <c r="Y791" s="2124"/>
      <c r="Z791" s="2124"/>
      <c r="AA791" s="2124"/>
      <c r="AB791" s="2125"/>
      <c r="AC791" s="2033">
        <f t="shared" si="50"/>
        <v>0</v>
      </c>
      <c r="AD791" s="2034"/>
      <c r="AE791" s="2034"/>
      <c r="AF791" s="2034"/>
      <c r="AG791" s="2035"/>
      <c r="AH791" s="2271"/>
      <c r="AI791" s="2272"/>
      <c r="AJ791" s="2272"/>
      <c r="AK791" s="2272"/>
      <c r="AL791" s="227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93"/>
      <c r="K792" s="2094"/>
      <c r="L792" s="2094"/>
      <c r="M792" s="2094"/>
      <c r="N792" s="2095"/>
      <c r="O792" s="2084"/>
      <c r="P792" s="2084"/>
      <c r="Q792" s="2084"/>
      <c r="R792" s="2084"/>
      <c r="S792" s="2084"/>
      <c r="T792" s="2036"/>
      <c r="U792" s="2037"/>
      <c r="V792" s="2037"/>
      <c r="W792" s="2038"/>
      <c r="X792" s="2123"/>
      <c r="Y792" s="2124"/>
      <c r="Z792" s="2124"/>
      <c r="AA792" s="2124"/>
      <c r="AB792" s="2125"/>
      <c r="AC792" s="2033">
        <f t="shared" si="50"/>
        <v>0</v>
      </c>
      <c r="AD792" s="2034"/>
      <c r="AE792" s="2034"/>
      <c r="AF792" s="2034"/>
      <c r="AG792" s="2035"/>
      <c r="AH792" s="2271"/>
      <c r="AI792" s="2272"/>
      <c r="AJ792" s="2272"/>
      <c r="AK792" s="2272"/>
      <c r="AL792" s="227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93"/>
      <c r="K793" s="2094"/>
      <c r="L793" s="2094"/>
      <c r="M793" s="2094"/>
      <c r="N793" s="2095"/>
      <c r="O793" s="2084"/>
      <c r="P793" s="2084"/>
      <c r="Q793" s="2084"/>
      <c r="R793" s="2084"/>
      <c r="S793" s="2084"/>
      <c r="T793" s="2036"/>
      <c r="U793" s="2037"/>
      <c r="V793" s="2037"/>
      <c r="W793" s="2038"/>
      <c r="X793" s="2123"/>
      <c r="Y793" s="2124"/>
      <c r="Z793" s="2124"/>
      <c r="AA793" s="2124"/>
      <c r="AB793" s="2125"/>
      <c r="AC793" s="2033">
        <f t="shared" si="50"/>
        <v>0</v>
      </c>
      <c r="AD793" s="2034"/>
      <c r="AE793" s="2034"/>
      <c r="AF793" s="2034"/>
      <c r="AG793" s="2035"/>
      <c r="AH793" s="2271"/>
      <c r="AI793" s="2272"/>
      <c r="AJ793" s="2272"/>
      <c r="AK793" s="2272"/>
      <c r="AL793" s="227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93"/>
      <c r="K794" s="2094"/>
      <c r="L794" s="2094"/>
      <c r="M794" s="2094"/>
      <c r="N794" s="2095"/>
      <c r="O794" s="2084"/>
      <c r="P794" s="2084"/>
      <c r="Q794" s="2084"/>
      <c r="R794" s="2084"/>
      <c r="S794" s="2084"/>
      <c r="T794" s="2036"/>
      <c r="U794" s="2037"/>
      <c r="V794" s="2037"/>
      <c r="W794" s="2038"/>
      <c r="X794" s="2123"/>
      <c r="Y794" s="2124"/>
      <c r="Z794" s="2124"/>
      <c r="AA794" s="2124"/>
      <c r="AB794" s="2125"/>
      <c r="AC794" s="2033">
        <f t="shared" si="50"/>
        <v>0</v>
      </c>
      <c r="AD794" s="2034"/>
      <c r="AE794" s="2034"/>
      <c r="AF794" s="2034"/>
      <c r="AG794" s="2035"/>
      <c r="AH794" s="2271"/>
      <c r="AI794" s="2272"/>
      <c r="AJ794" s="2272"/>
      <c r="AK794" s="2272"/>
      <c r="AL794" s="227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93"/>
      <c r="K795" s="2094"/>
      <c r="L795" s="2094"/>
      <c r="M795" s="2094"/>
      <c r="N795" s="2095"/>
      <c r="O795" s="2084"/>
      <c r="P795" s="2084"/>
      <c r="Q795" s="2084"/>
      <c r="R795" s="2084"/>
      <c r="S795" s="2084"/>
      <c r="T795" s="2036"/>
      <c r="U795" s="2037"/>
      <c r="V795" s="2037"/>
      <c r="W795" s="2038"/>
      <c r="X795" s="2123"/>
      <c r="Y795" s="2124"/>
      <c r="Z795" s="2124"/>
      <c r="AA795" s="2124"/>
      <c r="AB795" s="2125"/>
      <c r="AC795" s="2033">
        <f t="shared" si="50"/>
        <v>0</v>
      </c>
      <c r="AD795" s="2034"/>
      <c r="AE795" s="2034"/>
      <c r="AF795" s="2034"/>
      <c r="AG795" s="2035"/>
      <c r="AH795" s="2271"/>
      <c r="AI795" s="2272"/>
      <c r="AJ795" s="2272"/>
      <c r="AK795" s="2272"/>
      <c r="AL795" s="227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8" t="s">
        <v>130</v>
      </c>
      <c r="K796" s="2189"/>
      <c r="L796" s="2189"/>
      <c r="M796" s="2189"/>
      <c r="N796" s="2191"/>
      <c r="O796" s="2307">
        <f>SUM(O786:S795)</f>
        <v>0</v>
      </c>
      <c r="P796" s="2307"/>
      <c r="Q796" s="2307"/>
      <c r="R796" s="2307"/>
      <c r="S796" s="2307"/>
      <c r="X796" s="1601" t="s">
        <v>129</v>
      </c>
      <c r="Y796" s="1602"/>
      <c r="Z796" s="1602"/>
      <c r="AA796" s="1602"/>
      <c r="AB796" s="1603"/>
      <c r="AC796" s="2033">
        <f>SUM(AC786:AG795)</f>
        <v>0</v>
      </c>
      <c r="AD796" s="2034"/>
      <c r="AE796" s="2034"/>
      <c r="AF796" s="2034"/>
      <c r="AG796" s="203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7">
        <f>T753+AC776+AC796</f>
        <v>50258</v>
      </c>
      <c r="Z798" s="2147"/>
      <c r="AA798" s="2147"/>
      <c r="AB798" s="2147"/>
      <c r="AC798" s="214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7">
        <f>(T753+AC776+AC796)*12</f>
        <v>603096</v>
      </c>
      <c r="Z799" s="2147"/>
      <c r="AA799" s="2147"/>
      <c r="AB799" s="2147"/>
      <c r="AC799" s="2147"/>
      <c r="AZ799" s="58"/>
      <c r="BA799" s="51" t="s">
        <v>666</v>
      </c>
      <c r="BB799" s="51"/>
      <c r="BC799" s="51"/>
      <c r="BD799" s="51"/>
      <c r="BE799" s="51"/>
      <c r="BF799" s="51"/>
      <c r="BG799" s="51"/>
      <c r="BH799" s="51"/>
      <c r="BI799" s="51"/>
      <c r="BJ799" s="51"/>
      <c r="BK799" s="51"/>
      <c r="BL799" s="51"/>
      <c r="BM799" s="51"/>
      <c r="BN799" s="2370" t="s">
        <v>501</v>
      </c>
      <c r="BO799" s="2371"/>
      <c r="BP799" s="58"/>
      <c r="BQ799" s="58"/>
      <c r="BR799" s="58"/>
      <c r="BS799" s="51" t="s">
        <v>668</v>
      </c>
      <c r="BT799" s="51"/>
      <c r="BU799" s="51"/>
      <c r="BV799" s="51"/>
      <c r="BW799" s="51"/>
      <c r="BX799" s="51"/>
      <c r="BY799" s="51"/>
      <c r="BZ799" s="51"/>
      <c r="CA799" s="51"/>
      <c r="CB799" s="2367" t="str">
        <f>T189</f>
        <v>Riverside</v>
      </c>
      <c r="CC799" s="2368"/>
      <c r="CD799" s="2368"/>
      <c r="CE799" s="2368"/>
      <c r="CF799" s="2368"/>
      <c r="CG799" s="2368"/>
      <c r="CH799" s="236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64">
        <v>16</v>
      </c>
      <c r="AA804" s="2265"/>
      <c r="AB804" s="2265"/>
      <c r="AC804" s="2265"/>
      <c r="AD804" s="2265"/>
      <c r="AE804" s="226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67">
        <v>20</v>
      </c>
      <c r="AA805" s="2265"/>
      <c r="AB805" s="2265"/>
      <c r="AC805" s="2265"/>
      <c r="AD805" s="2265"/>
      <c r="AE805" s="226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19" t="s">
        <v>2682</v>
      </c>
      <c r="AA806" s="2322"/>
      <c r="AB806" s="2322"/>
      <c r="AC806" s="2322"/>
      <c r="AD806" s="2322"/>
      <c r="AE806" s="232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8">
        <f>'Subsidy Contract Calculation'!I30</f>
        <v>176928</v>
      </c>
      <c r="AA807" s="2149"/>
      <c r="AB807" s="2149"/>
      <c r="AC807" s="2149"/>
      <c r="AD807" s="2149"/>
      <c r="AE807" s="215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1">
        <v>365252</v>
      </c>
      <c r="BQ809" s="511">
        <v>421132</v>
      </c>
      <c r="BR809" s="511">
        <v>508000</v>
      </c>
      <c r="BS809" s="511">
        <v>650240</v>
      </c>
      <c r="BT809" s="511">
        <v>724408</v>
      </c>
      <c r="BU809" s="56"/>
      <c r="BV809" s="36" t="s">
        <v>670</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9">
        <v>262291</v>
      </c>
      <c r="BQ810" s="509">
        <v>302419</v>
      </c>
      <c r="BR810" s="509">
        <v>364800</v>
      </c>
      <c r="BS810" s="509">
        <v>466944</v>
      </c>
      <c r="BT810" s="509">
        <v>520205</v>
      </c>
      <c r="BU810" s="56"/>
      <c r="BV810" s="36" t="s">
        <v>671</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3">
        <v>10920</v>
      </c>
      <c r="AA811" s="2024"/>
      <c r="AB811" s="2024"/>
      <c r="AC811" s="2024"/>
      <c r="AD811" s="2024"/>
      <c r="AE811" s="20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1">
        <v>262291</v>
      </c>
      <c r="BQ811" s="511">
        <v>302419</v>
      </c>
      <c r="BR811" s="511">
        <v>364800</v>
      </c>
      <c r="BS811" s="511">
        <v>466944</v>
      </c>
      <c r="BT811" s="511">
        <v>520205</v>
      </c>
      <c r="BU811" s="56"/>
      <c r="BV811" s="36" t="s">
        <v>348</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3"/>
      <c r="AA812" s="2024"/>
      <c r="AB812" s="2024"/>
      <c r="AC812" s="2024"/>
      <c r="AD812" s="2024"/>
      <c r="AE812" s="20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9">
        <v>230655</v>
      </c>
      <c r="BQ812" s="509">
        <v>265943</v>
      </c>
      <c r="BR812" s="509">
        <v>320800</v>
      </c>
      <c r="BS812" s="509">
        <v>410624</v>
      </c>
      <c r="BT812" s="509">
        <v>457461</v>
      </c>
      <c r="BU812" s="56"/>
      <c r="BV812" s="36" t="s">
        <v>696</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3"/>
      <c r="AA813" s="2024"/>
      <c r="AB813" s="2024"/>
      <c r="AC813" s="2024"/>
      <c r="AD813" s="2024"/>
      <c r="AE813" s="20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1">
        <v>262291</v>
      </c>
      <c r="BQ813" s="511">
        <v>302419</v>
      </c>
      <c r="BR813" s="511">
        <v>364800</v>
      </c>
      <c r="BS813" s="511">
        <v>466944</v>
      </c>
      <c r="BT813" s="511">
        <v>520205</v>
      </c>
      <c r="BU813" s="56"/>
      <c r="BV813" s="36" t="s">
        <v>697</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1" t="s">
        <v>342</v>
      </c>
      <c r="Q814" s="2262"/>
      <c r="R814" s="2262"/>
      <c r="S814" s="2262"/>
      <c r="T814" s="2262"/>
      <c r="U814" s="2262"/>
      <c r="V814" s="2262"/>
      <c r="W814" s="2262"/>
      <c r="X814" s="2262"/>
      <c r="Y814" s="2263"/>
      <c r="Z814" s="2023"/>
      <c r="AA814" s="2024"/>
      <c r="AB814" s="2024"/>
      <c r="AC814" s="2024"/>
      <c r="AD814" s="2024"/>
      <c r="AE814" s="20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9">
        <v>262291</v>
      </c>
      <c r="BQ814" s="509">
        <v>302419</v>
      </c>
      <c r="BR814" s="509">
        <v>364800</v>
      </c>
      <c r="BS814" s="509">
        <v>466944</v>
      </c>
      <c r="BT814" s="509">
        <v>520205</v>
      </c>
      <c r="BU814" s="56"/>
      <c r="BV814" s="36" t="s">
        <v>698</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8">
        <f>SUM(Z811:AE814)</f>
        <v>10920</v>
      </c>
      <c r="AA815" s="2149"/>
      <c r="AB815" s="2149"/>
      <c r="AC815" s="2149"/>
      <c r="AD815" s="2149"/>
      <c r="AE815" s="215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1">
        <v>365252</v>
      </c>
      <c r="BQ815" s="511">
        <v>421132</v>
      </c>
      <c r="BR815" s="511">
        <v>508000</v>
      </c>
      <c r="BS815" s="511">
        <v>650240</v>
      </c>
      <c r="BT815" s="511">
        <v>724408</v>
      </c>
      <c r="BU815" s="56"/>
      <c r="BV815" s="36" t="s">
        <v>699</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48">
        <f>Z815+Y799+Z807</f>
        <v>790944</v>
      </c>
      <c r="AA816" s="2149"/>
      <c r="AB816" s="2149"/>
      <c r="AC816" s="2149"/>
      <c r="AD816" s="2149"/>
      <c r="AE816" s="215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9">
        <v>262291</v>
      </c>
      <c r="BQ816" s="509">
        <v>302419</v>
      </c>
      <c r="BR816" s="509">
        <v>364800</v>
      </c>
      <c r="BS816" s="509">
        <v>466944</v>
      </c>
      <c r="BT816" s="509">
        <v>520205</v>
      </c>
      <c r="BU816" s="56"/>
      <c r="BV816" s="36" t="s">
        <v>700</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1">
        <v>278397</v>
      </c>
      <c r="BQ817" s="511">
        <v>320989</v>
      </c>
      <c r="BR817" s="511">
        <v>387200</v>
      </c>
      <c r="BS817" s="511">
        <v>495616</v>
      </c>
      <c r="BT817" s="511">
        <v>552147</v>
      </c>
      <c r="BU817" s="56"/>
      <c r="BV817" s="36" t="s">
        <v>701</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9">
        <v>238133</v>
      </c>
      <c r="BQ818" s="509">
        <v>274565</v>
      </c>
      <c r="BR818" s="509">
        <v>331200</v>
      </c>
      <c r="BS818" s="509">
        <v>423936</v>
      </c>
      <c r="BT818" s="509">
        <v>472291</v>
      </c>
      <c r="BU818" s="56"/>
      <c r="BV818" s="36" t="s">
        <v>703</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1">
        <v>262291</v>
      </c>
      <c r="BQ819" s="511">
        <v>302419</v>
      </c>
      <c r="BR819" s="511">
        <v>364800</v>
      </c>
      <c r="BS819" s="511">
        <v>466944</v>
      </c>
      <c r="BT819" s="511">
        <v>520205</v>
      </c>
      <c r="BU819" s="56"/>
      <c r="BV819" s="36" t="s">
        <v>706</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9">
        <v>262291</v>
      </c>
      <c r="BQ820" s="509">
        <v>302419</v>
      </c>
      <c r="BR820" s="509">
        <v>364800</v>
      </c>
      <c r="BS820" s="509">
        <v>466944</v>
      </c>
      <c r="BT820" s="509">
        <v>520205</v>
      </c>
      <c r="BU820" s="56"/>
      <c r="BV820" s="36" t="s">
        <v>707</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36" t="s">
        <v>131</v>
      </c>
      <c r="N821" s="2336"/>
      <c r="O821" s="2336"/>
      <c r="P821" s="2337"/>
      <c r="Q821" s="2260" t="s">
        <v>297</v>
      </c>
      <c r="R821" s="2260"/>
      <c r="S821" s="2260"/>
      <c r="T821" s="2260"/>
      <c r="U821" s="2260" t="s">
        <v>298</v>
      </c>
      <c r="V821" s="2260"/>
      <c r="W821" s="2260"/>
      <c r="X821" s="2260"/>
      <c r="Y821" s="2260" t="s">
        <v>299</v>
      </c>
      <c r="Z821" s="2260"/>
      <c r="AA821" s="2260"/>
      <c r="AB821" s="2260"/>
      <c r="AC821" s="2260" t="s">
        <v>370</v>
      </c>
      <c r="AD821" s="2260"/>
      <c r="AE821" s="2260"/>
      <c r="AF821" s="2260"/>
      <c r="AG821" s="2282" t="s">
        <v>343</v>
      </c>
      <c r="AH821" s="2282"/>
      <c r="AI821" s="2282"/>
      <c r="AJ821" s="2282"/>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709</v>
      </c>
      <c r="BP821" s="511">
        <v>228930</v>
      </c>
      <c r="BQ821" s="511">
        <v>263954</v>
      </c>
      <c r="BR821" s="511">
        <v>318400</v>
      </c>
      <c r="BS821" s="511">
        <v>407552</v>
      </c>
      <c r="BT821" s="511">
        <v>454038</v>
      </c>
      <c r="BU821" s="56"/>
      <c r="BV821" s="36" t="s">
        <v>709</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38"/>
      <c r="N822" s="2338"/>
      <c r="O822" s="2338"/>
      <c r="P822" s="2339"/>
      <c r="Q822" s="2260"/>
      <c r="R822" s="2260"/>
      <c r="S822" s="2260"/>
      <c r="T822" s="2260"/>
      <c r="U822" s="2260"/>
      <c r="V822" s="2260"/>
      <c r="W822" s="2260"/>
      <c r="X822" s="2260"/>
      <c r="Y822" s="2260"/>
      <c r="Z822" s="2260"/>
      <c r="AA822" s="2260"/>
      <c r="AB822" s="2260"/>
      <c r="AC822" s="2260"/>
      <c r="AD822" s="2260"/>
      <c r="AE822" s="2260"/>
      <c r="AF822" s="2260"/>
      <c r="AG822" s="2282"/>
      <c r="AH822" s="2282"/>
      <c r="AI822" s="2282"/>
      <c r="AJ822" s="2282"/>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710</v>
      </c>
      <c r="BP822" s="509">
        <v>262291</v>
      </c>
      <c r="BQ822" s="509">
        <v>302419</v>
      </c>
      <c r="BR822" s="509">
        <v>364800</v>
      </c>
      <c r="BS822" s="509">
        <v>466944</v>
      </c>
      <c r="BT822" s="509">
        <v>520205</v>
      </c>
      <c r="BU822" s="56"/>
      <c r="BV822" s="36" t="s">
        <v>710</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80" t="s">
        <v>43</v>
      </c>
      <c r="D823" s="2281"/>
      <c r="E823" s="2281"/>
      <c r="F823" s="2281"/>
      <c r="G823" s="2281"/>
      <c r="H823" s="2281"/>
      <c r="I823" s="80"/>
      <c r="J823" s="80"/>
      <c r="K823" s="80"/>
      <c r="L823" s="81"/>
      <c r="M823" s="2279"/>
      <c r="N823" s="2279"/>
      <c r="O823" s="2279"/>
      <c r="P823" s="2279"/>
      <c r="Q823" s="2279">
        <v>11</v>
      </c>
      <c r="R823" s="2279"/>
      <c r="S823" s="2279"/>
      <c r="T823" s="2279"/>
      <c r="U823" s="2279">
        <v>13</v>
      </c>
      <c r="V823" s="2279"/>
      <c r="W823" s="2279"/>
      <c r="X823" s="2279"/>
      <c r="Y823" s="2279">
        <v>15</v>
      </c>
      <c r="Z823" s="2279"/>
      <c r="AA823" s="2279"/>
      <c r="AB823" s="2279"/>
      <c r="AC823" s="2257"/>
      <c r="AD823" s="2258"/>
      <c r="AE823" s="2258"/>
      <c r="AF823" s="2259"/>
      <c r="AG823" s="2257"/>
      <c r="AH823" s="2258"/>
      <c r="AI823" s="2258"/>
      <c r="AJ823" s="2259"/>
      <c r="AK823" s="12"/>
      <c r="AL823" s="58"/>
      <c r="AM823" s="238"/>
      <c r="AN823" s="238"/>
      <c r="AO823" s="238"/>
      <c r="AP823" s="238"/>
      <c r="AQ823" s="238"/>
      <c r="AR823" s="238"/>
      <c r="AS823" s="238"/>
      <c r="AT823" s="238"/>
      <c r="AU823" s="238"/>
      <c r="AV823" s="238"/>
      <c r="AW823" s="238"/>
      <c r="AX823" s="238"/>
      <c r="AY823" s="238"/>
      <c r="AZ823" s="52"/>
      <c r="BA823" s="52"/>
      <c r="BB823" s="21"/>
      <c r="BC823" s="21"/>
      <c r="BD823" s="21"/>
      <c r="BE823" s="21"/>
      <c r="BF823" s="21"/>
      <c r="BG823" s="56"/>
      <c r="BH823" s="56"/>
      <c r="BI823" s="56"/>
      <c r="BJ823" s="56"/>
      <c r="BK823" s="56"/>
      <c r="BL823" s="56"/>
      <c r="BM823" s="56"/>
      <c r="BN823" s="56"/>
      <c r="BO823" s="36" t="s">
        <v>216</v>
      </c>
      <c r="BP823" s="511">
        <v>238133</v>
      </c>
      <c r="BQ823" s="511">
        <v>274565</v>
      </c>
      <c r="BR823" s="511">
        <v>331200</v>
      </c>
      <c r="BS823" s="511">
        <v>423936</v>
      </c>
      <c r="BT823" s="511">
        <v>472291</v>
      </c>
      <c r="BU823" s="56"/>
      <c r="BV823" s="36" t="s">
        <v>216</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6" t="s">
        <v>44</v>
      </c>
      <c r="D824" s="2074"/>
      <c r="E824" s="2074"/>
      <c r="F824" s="2074"/>
      <c r="G824" s="2074"/>
      <c r="H824" s="2074"/>
      <c r="I824" s="77"/>
      <c r="J824" s="77"/>
      <c r="K824" s="77"/>
      <c r="L824" s="78"/>
      <c r="M824" s="2279"/>
      <c r="N824" s="2279"/>
      <c r="O824" s="2279"/>
      <c r="P824" s="2279"/>
      <c r="Q824" s="2279"/>
      <c r="R824" s="2279"/>
      <c r="S824" s="2279"/>
      <c r="T824" s="2279"/>
      <c r="U824" s="2279"/>
      <c r="V824" s="2279"/>
      <c r="W824" s="2279"/>
      <c r="X824" s="2279"/>
      <c r="Y824" s="2279"/>
      <c r="Z824" s="2279"/>
      <c r="AA824" s="2279"/>
      <c r="AB824" s="2279"/>
      <c r="AC824" s="2257"/>
      <c r="AD824" s="2258"/>
      <c r="AE824" s="2258"/>
      <c r="AF824" s="2259"/>
      <c r="AG824" s="2257"/>
      <c r="AH824" s="2258"/>
      <c r="AI824" s="2258"/>
      <c r="AJ824" s="2259"/>
      <c r="AK824" s="12"/>
      <c r="AL824" s="58"/>
      <c r="AM824" s="238"/>
      <c r="AN824" s="238"/>
      <c r="AO824" s="238"/>
      <c r="AP824" s="238"/>
      <c r="AQ824" s="238"/>
      <c r="AR824" s="238"/>
      <c r="AS824" s="238"/>
      <c r="AT824" s="238"/>
      <c r="AU824" s="238"/>
      <c r="AV824" s="238"/>
      <c r="AW824" s="238"/>
      <c r="AX824" s="238"/>
      <c r="AY824" s="238"/>
      <c r="AZ824" s="52"/>
      <c r="BA824" s="52"/>
      <c r="BB824" s="21"/>
      <c r="BC824" s="21"/>
      <c r="BD824" s="21"/>
      <c r="BE824" s="21"/>
      <c r="BF824" s="21"/>
      <c r="BG824" s="56"/>
      <c r="BH824" s="56"/>
      <c r="BI824" s="56"/>
      <c r="BJ824" s="56"/>
      <c r="BK824" s="56"/>
      <c r="BL824" s="56"/>
      <c r="BM824" s="56"/>
      <c r="BN824" s="56"/>
      <c r="BO824" s="36" t="s">
        <v>218</v>
      </c>
      <c r="BP824" s="509">
        <v>238133</v>
      </c>
      <c r="BQ824" s="509">
        <v>274565</v>
      </c>
      <c r="BR824" s="509">
        <v>331200</v>
      </c>
      <c r="BS824" s="509">
        <v>423936</v>
      </c>
      <c r="BT824" s="509">
        <v>472291</v>
      </c>
      <c r="BU824" s="56"/>
      <c r="BV824" s="36" t="s">
        <v>218</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6" t="s">
        <v>45</v>
      </c>
      <c r="D825" s="2074"/>
      <c r="E825" s="2074"/>
      <c r="F825" s="2074"/>
      <c r="G825" s="2074"/>
      <c r="H825" s="2074"/>
      <c r="I825" s="96"/>
      <c r="J825" s="96"/>
      <c r="K825" s="96"/>
      <c r="L825" s="97"/>
      <c r="M825" s="2279"/>
      <c r="N825" s="2279"/>
      <c r="O825" s="2279"/>
      <c r="P825" s="2279"/>
      <c r="Q825" s="2279">
        <v>6</v>
      </c>
      <c r="R825" s="2279"/>
      <c r="S825" s="2279"/>
      <c r="T825" s="2279"/>
      <c r="U825" s="2279">
        <v>9</v>
      </c>
      <c r="V825" s="2279"/>
      <c r="W825" s="2279"/>
      <c r="X825" s="2279"/>
      <c r="Y825" s="2279">
        <v>11</v>
      </c>
      <c r="Z825" s="2279"/>
      <c r="AA825" s="2279"/>
      <c r="AB825" s="2279"/>
      <c r="AC825" s="2257"/>
      <c r="AD825" s="2258"/>
      <c r="AE825" s="2258"/>
      <c r="AF825" s="2259"/>
      <c r="AG825" s="2257"/>
      <c r="AH825" s="2258"/>
      <c r="AI825" s="2258"/>
      <c r="AJ825" s="2259"/>
      <c r="AK825" s="12"/>
      <c r="AL825" s="58"/>
      <c r="AM825" s="238"/>
      <c r="AN825" s="238"/>
      <c r="AO825" s="238"/>
      <c r="AP825" s="238"/>
      <c r="AQ825" s="238"/>
      <c r="AR825" s="238"/>
      <c r="AS825" s="238"/>
      <c r="AT825" s="238"/>
      <c r="AU825" s="238"/>
      <c r="AV825" s="238"/>
      <c r="AW825" s="238"/>
      <c r="AX825" s="238"/>
      <c r="AY825" s="238"/>
      <c r="AZ825" s="52"/>
      <c r="BA825" s="52"/>
      <c r="BB825" s="21"/>
      <c r="BC825" s="21"/>
      <c r="BD825" s="21"/>
      <c r="BE825" s="21"/>
      <c r="BF825" s="21"/>
      <c r="BG825" s="56"/>
      <c r="BH825" s="56"/>
      <c r="BI825" s="56"/>
      <c r="BJ825" s="56"/>
      <c r="BK825" s="56"/>
      <c r="BL825" s="56"/>
      <c r="BM825" s="56"/>
      <c r="BN825" s="56"/>
      <c r="BO825" s="36" t="s">
        <v>219</v>
      </c>
      <c r="BP825" s="511">
        <v>262291</v>
      </c>
      <c r="BQ825" s="511">
        <v>302419</v>
      </c>
      <c r="BR825" s="511">
        <v>364800</v>
      </c>
      <c r="BS825" s="511">
        <v>466944</v>
      </c>
      <c r="BT825" s="511">
        <v>520205</v>
      </c>
      <c r="BU825" s="56"/>
      <c r="BV825" s="36" t="s">
        <v>219</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6" t="s">
        <v>819</v>
      </c>
      <c r="D826" s="2074"/>
      <c r="E826" s="2074"/>
      <c r="F826" s="2074"/>
      <c r="G826" s="2074"/>
      <c r="H826" s="2074"/>
      <c r="I826" s="96"/>
      <c r="J826" s="96"/>
      <c r="K826" s="96"/>
      <c r="L826" s="97"/>
      <c r="M826" s="2279"/>
      <c r="N826" s="2279"/>
      <c r="O826" s="2279"/>
      <c r="P826" s="2279"/>
      <c r="Q826" s="2279">
        <v>22</v>
      </c>
      <c r="R826" s="2279"/>
      <c r="S826" s="2279"/>
      <c r="T826" s="2279"/>
      <c r="U826" s="2279">
        <v>30</v>
      </c>
      <c r="V826" s="2279"/>
      <c r="W826" s="2279"/>
      <c r="X826" s="2279"/>
      <c r="Y826" s="2279">
        <v>38</v>
      </c>
      <c r="Z826" s="2279"/>
      <c r="AA826" s="2279"/>
      <c r="AB826" s="2279"/>
      <c r="AC826" s="2257"/>
      <c r="AD826" s="2258"/>
      <c r="AE826" s="2258"/>
      <c r="AF826" s="2259"/>
      <c r="AG826" s="2257"/>
      <c r="AH826" s="2258"/>
      <c r="AI826" s="2258"/>
      <c r="AJ826" s="2259"/>
      <c r="AK826" s="12"/>
      <c r="AL826" s="58"/>
      <c r="AM826" s="238"/>
      <c r="AN826" s="238"/>
      <c r="AO826" s="238"/>
      <c r="AP826" s="238"/>
      <c r="AQ826" s="238"/>
      <c r="AR826" s="238"/>
      <c r="AS826" s="238"/>
      <c r="AT826" s="238"/>
      <c r="AU826" s="238"/>
      <c r="AV826" s="238"/>
      <c r="AW826" s="238"/>
      <c r="AX826" s="238"/>
      <c r="AY826" s="238"/>
      <c r="AZ826" s="52"/>
      <c r="BA826" s="52"/>
      <c r="BB826" s="21"/>
      <c r="BC826" s="21"/>
      <c r="BD826" s="21"/>
      <c r="BE826" s="21"/>
      <c r="BF826" s="21"/>
      <c r="BG826" s="56"/>
      <c r="BH826" s="56"/>
      <c r="BI826" s="56"/>
      <c r="BJ826" s="56"/>
      <c r="BK826" s="56"/>
      <c r="BL826" s="56"/>
      <c r="BM826" s="56"/>
      <c r="BN826" s="56"/>
      <c r="BO826" s="36" t="s">
        <v>221</v>
      </c>
      <c r="BP826" s="509">
        <v>262291</v>
      </c>
      <c r="BQ826" s="509">
        <v>302419</v>
      </c>
      <c r="BR826" s="509">
        <v>364800</v>
      </c>
      <c r="BS826" s="509">
        <v>466944</v>
      </c>
      <c r="BT826" s="509">
        <v>520205</v>
      </c>
      <c r="BU826" s="56"/>
      <c r="BV826" s="36" t="s">
        <v>221</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6" t="s">
        <v>491</v>
      </c>
      <c r="D827" s="2074"/>
      <c r="E827" s="2074"/>
      <c r="F827" s="2074"/>
      <c r="G827" s="2074"/>
      <c r="H827" s="2074"/>
      <c r="I827" s="96"/>
      <c r="J827" s="96"/>
      <c r="K827" s="96"/>
      <c r="L827" s="97"/>
      <c r="M827" s="2279"/>
      <c r="N827" s="2279"/>
      <c r="O827" s="2279"/>
      <c r="P827" s="2279"/>
      <c r="Q827" s="2279">
        <v>14</v>
      </c>
      <c r="R827" s="2279"/>
      <c r="S827" s="2279"/>
      <c r="T827" s="2279"/>
      <c r="U827" s="2279">
        <v>19</v>
      </c>
      <c r="V827" s="2279"/>
      <c r="W827" s="2279"/>
      <c r="X827" s="2279"/>
      <c r="Y827" s="2279">
        <v>25</v>
      </c>
      <c r="Z827" s="2279"/>
      <c r="AA827" s="2279"/>
      <c r="AB827" s="2279"/>
      <c r="AC827" s="2257"/>
      <c r="AD827" s="2258"/>
      <c r="AE827" s="2258"/>
      <c r="AF827" s="2259"/>
      <c r="AG827" s="2257"/>
      <c r="AH827" s="2258"/>
      <c r="AI827" s="2258"/>
      <c r="AJ827" s="2259"/>
      <c r="AK827" s="12"/>
      <c r="AL827" s="58"/>
      <c r="AM827" s="238"/>
      <c r="AN827" s="238"/>
      <c r="AO827" s="238"/>
      <c r="AP827" s="238"/>
      <c r="AQ827" s="238"/>
      <c r="AR827" s="238"/>
      <c r="AS827" s="238"/>
      <c r="AT827" s="238"/>
      <c r="AU827" s="238"/>
      <c r="AV827" s="238"/>
      <c r="AW827" s="238"/>
      <c r="AX827" s="238"/>
      <c r="AY827" s="238"/>
      <c r="AZ827" s="52"/>
      <c r="BA827" s="52"/>
      <c r="BB827" s="21"/>
      <c r="BC827" s="21"/>
      <c r="BD827" s="21"/>
      <c r="BE827" s="21"/>
      <c r="BF827" s="21"/>
      <c r="BG827" s="56"/>
      <c r="BH827" s="56"/>
      <c r="BI827" s="56"/>
      <c r="BJ827" s="56"/>
      <c r="BK827" s="56"/>
      <c r="BL827" s="56"/>
      <c r="BM827" s="56"/>
      <c r="BN827" s="56"/>
      <c r="BO827" s="36" t="s">
        <v>222</v>
      </c>
      <c r="BP827" s="511">
        <v>327289</v>
      </c>
      <c r="BQ827" s="511">
        <v>377361</v>
      </c>
      <c r="BR827" s="511">
        <v>455200</v>
      </c>
      <c r="BS827" s="511">
        <v>582656</v>
      </c>
      <c r="BT827" s="511">
        <v>649115</v>
      </c>
      <c r="BU827" s="56"/>
      <c r="BV827" s="36" t="s">
        <v>222</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15" t="s">
        <v>840</v>
      </c>
      <c r="D828" s="2074"/>
      <c r="E828" s="2074"/>
      <c r="F828" s="2074"/>
      <c r="G828" s="2074"/>
      <c r="H828" s="2074"/>
      <c r="I828" s="96"/>
      <c r="J828" s="96"/>
      <c r="K828" s="96"/>
      <c r="L828" s="97"/>
      <c r="M828" s="2279"/>
      <c r="N828" s="2279"/>
      <c r="O828" s="2279"/>
      <c r="P828" s="2279"/>
      <c r="Q828" s="2279"/>
      <c r="R828" s="2279"/>
      <c r="S828" s="2279"/>
      <c r="T828" s="2279"/>
      <c r="U828" s="2279"/>
      <c r="V828" s="2279"/>
      <c r="W828" s="2279"/>
      <c r="X828" s="2279"/>
      <c r="Y828" s="2279"/>
      <c r="Z828" s="2279"/>
      <c r="AA828" s="2279"/>
      <c r="AB828" s="2279"/>
      <c r="AC828" s="2257"/>
      <c r="AD828" s="2258"/>
      <c r="AE828" s="2258"/>
      <c r="AF828" s="2259"/>
      <c r="AG828" s="2257"/>
      <c r="AH828" s="2258"/>
      <c r="AI828" s="2258"/>
      <c r="AJ828" s="2259"/>
      <c r="AK828" s="12"/>
      <c r="AL828" s="58"/>
      <c r="AM828" s="238"/>
      <c r="AN828" s="238"/>
      <c r="AO828" s="238"/>
      <c r="AP828" s="238"/>
      <c r="AQ828" s="238"/>
      <c r="AR828" s="238"/>
      <c r="AS828" s="238"/>
      <c r="AT828" s="238"/>
      <c r="AU828" s="238"/>
      <c r="AV828" s="238"/>
      <c r="AW828" s="238"/>
      <c r="AX828" s="238"/>
      <c r="AY828" s="238"/>
      <c r="AZ828" s="52"/>
      <c r="BA828" s="52"/>
      <c r="BB828" s="21"/>
      <c r="BC828" s="21"/>
      <c r="BD828" s="21"/>
      <c r="BE828" s="21"/>
      <c r="BF828" s="21"/>
      <c r="BG828" s="56"/>
      <c r="BH828" s="56"/>
      <c r="BI828" s="56"/>
      <c r="BJ828" s="56"/>
      <c r="BK828" s="56"/>
      <c r="BL828" s="56"/>
      <c r="BM828" s="56"/>
      <c r="BN828" s="56"/>
      <c r="BO828" s="36" t="s">
        <v>224</v>
      </c>
      <c r="BP828" s="509">
        <v>238133</v>
      </c>
      <c r="BQ828" s="509">
        <v>274565</v>
      </c>
      <c r="BR828" s="509">
        <v>331200</v>
      </c>
      <c r="BS828" s="509">
        <v>423936</v>
      </c>
      <c r="BT828" s="509">
        <v>472291</v>
      </c>
      <c r="BU828" s="56"/>
      <c r="BV828" s="36" t="s">
        <v>224</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83" t="s">
        <v>2635</v>
      </c>
      <c r="G829" s="2284"/>
      <c r="H829" s="2284"/>
      <c r="I829" s="2284"/>
      <c r="J829" s="2284"/>
      <c r="K829" s="2284"/>
      <c r="L829" s="2285"/>
      <c r="M829" s="2279"/>
      <c r="N829" s="2279"/>
      <c r="O829" s="2279"/>
      <c r="P829" s="2279"/>
      <c r="Q829" s="2279">
        <v>27</v>
      </c>
      <c r="R829" s="2279"/>
      <c r="S829" s="2279"/>
      <c r="T829" s="2279"/>
      <c r="U829" s="2279">
        <v>27</v>
      </c>
      <c r="V829" s="2279"/>
      <c r="W829" s="2279"/>
      <c r="X829" s="2279"/>
      <c r="Y829" s="2279">
        <v>27</v>
      </c>
      <c r="Z829" s="2279"/>
      <c r="AA829" s="2279"/>
      <c r="AB829" s="2279"/>
      <c r="AC829" s="2257"/>
      <c r="AD829" s="2258"/>
      <c r="AE829" s="2258"/>
      <c r="AF829" s="2259"/>
      <c r="AG829" s="2257"/>
      <c r="AH829" s="2258"/>
      <c r="AI829" s="2258"/>
      <c r="AJ829" s="2259"/>
      <c r="AK829" s="12"/>
      <c r="AL829" s="58"/>
      <c r="AM829" s="238"/>
      <c r="AN829" s="238"/>
      <c r="AO829" s="238"/>
      <c r="AP829" s="238"/>
      <c r="AQ829" s="238"/>
      <c r="AR829" s="238"/>
      <c r="AS829" s="238"/>
      <c r="AT829" s="238"/>
      <c r="AU829" s="238"/>
      <c r="AV829" s="238"/>
      <c r="AW829" s="238"/>
      <c r="AX829" s="238"/>
      <c r="AY829" s="238"/>
      <c r="AZ829" s="52"/>
      <c r="BA829" s="52"/>
      <c r="BB829" s="21"/>
      <c r="BC829" s="21"/>
      <c r="BD829" s="21"/>
      <c r="BE829" s="21"/>
      <c r="BF829" s="21"/>
      <c r="BG829" s="56"/>
      <c r="BH829" s="56"/>
      <c r="BI829" s="56"/>
      <c r="BJ829" s="56"/>
      <c r="BK829" s="56"/>
      <c r="BL829" s="56"/>
      <c r="BM829" s="56"/>
      <c r="BN829" s="56"/>
      <c r="BO829" s="36" t="s">
        <v>225</v>
      </c>
      <c r="BP829" s="511">
        <v>299104</v>
      </c>
      <c r="BQ829" s="511">
        <v>344864</v>
      </c>
      <c r="BR829" s="511">
        <v>416000</v>
      </c>
      <c r="BS829" s="511">
        <v>532480</v>
      </c>
      <c r="BT829" s="511">
        <v>593216</v>
      </c>
      <c r="BU829" s="56"/>
      <c r="BV829" s="36" t="s">
        <v>225</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8" t="s">
        <v>129</v>
      </c>
      <c r="D830" s="2189"/>
      <c r="E830" s="2189"/>
      <c r="F830" s="2189"/>
      <c r="G830" s="2189"/>
      <c r="H830" s="2189"/>
      <c r="I830" s="2189"/>
      <c r="J830" s="2189"/>
      <c r="K830" s="2189"/>
      <c r="L830" s="2191"/>
      <c r="M830" s="2288">
        <f>SUM(M823:P829)</f>
        <v>0</v>
      </c>
      <c r="N830" s="2288"/>
      <c r="O830" s="2288"/>
      <c r="P830" s="2288"/>
      <c r="Q830" s="2288">
        <f>SUM(Q823:T829)</f>
        <v>80</v>
      </c>
      <c r="R830" s="2288"/>
      <c r="S830" s="2288"/>
      <c r="T830" s="2288"/>
      <c r="U830" s="2288">
        <f>SUM(U823:X829)</f>
        <v>98</v>
      </c>
      <c r="V830" s="2288"/>
      <c r="W830" s="2288"/>
      <c r="X830" s="2288"/>
      <c r="Y830" s="2288">
        <f>SUM(Y823:AB829)</f>
        <v>116</v>
      </c>
      <c r="Z830" s="2288"/>
      <c r="AA830" s="2288"/>
      <c r="AB830" s="2288"/>
      <c r="AC830" s="2288">
        <f>SUM(AC823:AF829)</f>
        <v>0</v>
      </c>
      <c r="AD830" s="2288"/>
      <c r="AE830" s="2288"/>
      <c r="AF830" s="2288"/>
      <c r="AG830" s="2288">
        <f>SUM(AG823:AJ829)</f>
        <v>0</v>
      </c>
      <c r="AH830" s="2288"/>
      <c r="AI830" s="2288"/>
      <c r="AJ830" s="2288"/>
      <c r="AK830" s="12"/>
      <c r="AL830" s="58"/>
      <c r="AM830" s="238"/>
      <c r="AN830" s="238"/>
      <c r="AO830" s="238"/>
      <c r="AP830" s="238"/>
      <c r="AQ830" s="238"/>
      <c r="AR830" s="238"/>
      <c r="AS830" s="238"/>
      <c r="AT830" s="238"/>
      <c r="AU830" s="238"/>
      <c r="AV830" s="238"/>
      <c r="AW830" s="238"/>
      <c r="AX830" s="238"/>
      <c r="AY830" s="238"/>
      <c r="AZ830" s="52"/>
      <c r="BA830" s="52"/>
      <c r="BB830" s="21"/>
      <c r="BC830" s="21"/>
      <c r="BD830" s="21"/>
      <c r="BE830" s="21"/>
      <c r="BF830" s="21"/>
      <c r="BG830" s="56"/>
      <c r="BH830" s="56"/>
      <c r="BI830" s="56"/>
      <c r="BJ830" s="56"/>
      <c r="BK830" s="56"/>
      <c r="BL830" s="56"/>
      <c r="BM830" s="56"/>
      <c r="BN830" s="56"/>
      <c r="BO830" s="36" t="s">
        <v>226</v>
      </c>
      <c r="BP830" s="509">
        <v>262291</v>
      </c>
      <c r="BQ830" s="509">
        <v>302419</v>
      </c>
      <c r="BR830" s="509">
        <v>364800</v>
      </c>
      <c r="BS830" s="509">
        <v>466944</v>
      </c>
      <c r="BT830" s="509">
        <v>520205</v>
      </c>
      <c r="BU830" s="56"/>
      <c r="BV830" s="36" t="s">
        <v>226</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5"/>
      <c r="N831" s="285"/>
      <c r="O831" s="285"/>
      <c r="P831" s="285"/>
      <c r="Q831" s="285"/>
      <c r="R831" s="285"/>
      <c r="S831" s="285"/>
      <c r="T831" s="285"/>
      <c r="U831" s="285"/>
      <c r="V831" s="285"/>
      <c r="W831" s="285"/>
      <c r="X831" s="285"/>
      <c r="Y831" s="285"/>
      <c r="Z831" s="285"/>
      <c r="AA831" s="285"/>
      <c r="AB831" s="285"/>
      <c r="AC831" s="285"/>
      <c r="AD831" s="285"/>
      <c r="AE831" s="285"/>
      <c r="AF831" s="285"/>
      <c r="AG831" s="285"/>
      <c r="AH831" s="285"/>
      <c r="AI831" s="285"/>
      <c r="AJ831" s="285"/>
      <c r="AK831" s="12"/>
      <c r="AL831" s="58"/>
      <c r="AM831" s="238"/>
      <c r="AN831" s="238"/>
      <c r="AO831" s="238"/>
      <c r="AP831" s="238"/>
      <c r="AQ831" s="238"/>
      <c r="AR831" s="238"/>
      <c r="AS831" s="238"/>
      <c r="AT831" s="238"/>
      <c r="AU831" s="238"/>
      <c r="AV831" s="238"/>
      <c r="AW831" s="238"/>
      <c r="AX831" s="238"/>
      <c r="AY831" s="238"/>
      <c r="AZ831" s="52"/>
      <c r="BA831" s="52"/>
      <c r="BB831" s="21"/>
      <c r="BC831" s="21"/>
      <c r="BD831" s="21"/>
      <c r="BE831" s="21"/>
      <c r="BF831" s="21"/>
      <c r="BG831" s="56"/>
      <c r="BH831" s="56"/>
      <c r="BI831" s="56"/>
      <c r="BJ831" s="56"/>
      <c r="BK831" s="56"/>
      <c r="BL831" s="56"/>
      <c r="BM831" s="56"/>
      <c r="BN831" s="56"/>
      <c r="BO831" s="36" t="s">
        <v>227</v>
      </c>
      <c r="BP831" s="511">
        <v>262291</v>
      </c>
      <c r="BQ831" s="511">
        <v>302419</v>
      </c>
      <c r="BR831" s="511">
        <v>364800</v>
      </c>
      <c r="BS831" s="511">
        <v>466944</v>
      </c>
      <c r="BT831" s="511">
        <v>520205</v>
      </c>
      <c r="BU831" s="56"/>
      <c r="BV831" s="36" t="s">
        <v>227</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5"/>
      <c r="N832" s="285"/>
      <c r="O832" s="285"/>
      <c r="P832" s="285"/>
      <c r="Q832" s="285"/>
      <c r="R832" s="285"/>
      <c r="S832" s="285"/>
      <c r="T832" s="285"/>
      <c r="U832" s="285"/>
      <c r="V832" s="285"/>
      <c r="W832" s="285"/>
      <c r="X832" s="285"/>
      <c r="Y832" s="285"/>
      <c r="Z832" s="285"/>
      <c r="AA832" s="285"/>
      <c r="AB832" s="285"/>
      <c r="AC832" s="285"/>
      <c r="AD832" s="285"/>
      <c r="AE832" s="285"/>
      <c r="AF832" s="285"/>
      <c r="AG832" s="285"/>
      <c r="AH832" s="285"/>
      <c r="AI832" s="285"/>
      <c r="AJ832" s="285"/>
      <c r="AK832" s="12"/>
      <c r="AL832" s="58"/>
      <c r="AM832" s="238"/>
      <c r="AN832" s="238"/>
      <c r="AO832" s="238"/>
      <c r="AP832" s="238"/>
      <c r="AQ832" s="238"/>
      <c r="AR832" s="238"/>
      <c r="AS832" s="238"/>
      <c r="AT832" s="238"/>
      <c r="AU832" s="238"/>
      <c r="AV832" s="238"/>
      <c r="AW832" s="238"/>
      <c r="AX832" s="238"/>
      <c r="AY832" s="238"/>
      <c r="AZ832" s="52"/>
      <c r="BA832" s="52"/>
      <c r="BB832" s="21"/>
      <c r="BC832" s="21"/>
      <c r="BD832" s="21"/>
      <c r="BE832" s="21"/>
      <c r="BF832" s="21"/>
      <c r="BG832" s="56"/>
      <c r="BH832" s="56"/>
      <c r="BI832" s="56"/>
      <c r="BJ832" s="56"/>
      <c r="BK832" s="56"/>
      <c r="BL832" s="56"/>
      <c r="BM832" s="56"/>
      <c r="BN832" s="56"/>
      <c r="BO832" s="36" t="s">
        <v>229</v>
      </c>
      <c r="BP832" s="509">
        <v>238133</v>
      </c>
      <c r="BQ832" s="509">
        <v>274565</v>
      </c>
      <c r="BR832" s="509">
        <v>331200</v>
      </c>
      <c r="BS832" s="509">
        <v>423936</v>
      </c>
      <c r="BT832" s="509">
        <v>472291</v>
      </c>
      <c r="BU832" s="56"/>
      <c r="BV832" s="36" t="s">
        <v>229</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5"/>
      <c r="N833" s="285"/>
      <c r="O833" s="285"/>
      <c r="P833" s="285"/>
      <c r="Q833" s="285"/>
      <c r="R833" s="285"/>
      <c r="S833" s="285"/>
      <c r="T833" s="285"/>
      <c r="U833" s="285"/>
      <c r="V833" s="285"/>
      <c r="W833" s="285"/>
      <c r="X833" s="285"/>
      <c r="Y833" s="285"/>
      <c r="Z833" s="285"/>
      <c r="AA833" s="285"/>
      <c r="AB833" s="285"/>
      <c r="AC833" s="285"/>
      <c r="AD833" s="285"/>
      <c r="AE833" s="285"/>
      <c r="AF833" s="285"/>
      <c r="AG833" s="285"/>
      <c r="AH833" s="285"/>
      <c r="AI833" s="285"/>
      <c r="AJ833" s="285"/>
      <c r="AK833" s="12"/>
      <c r="AL833" s="58"/>
      <c r="AM833" s="238"/>
      <c r="AN833" s="238"/>
      <c r="AO833" s="238"/>
      <c r="AP833" s="238"/>
      <c r="AQ833" s="238"/>
      <c r="AR833" s="238"/>
      <c r="AS833" s="238"/>
      <c r="AT833" s="238"/>
      <c r="AU833" s="238"/>
      <c r="AV833" s="238"/>
      <c r="AW833" s="238"/>
      <c r="AX833" s="238"/>
      <c r="AY833" s="238"/>
      <c r="AZ833" s="52"/>
      <c r="BA833" s="52"/>
      <c r="BB833" s="21"/>
      <c r="BC833" s="21"/>
      <c r="BD833" s="21"/>
      <c r="BE833" s="21"/>
      <c r="BF833" s="21"/>
      <c r="BG833" s="56"/>
      <c r="BH833" s="56"/>
      <c r="BI833" s="56"/>
      <c r="BJ833" s="56"/>
      <c r="BK833" s="56"/>
      <c r="BL833" s="56"/>
      <c r="BM833" s="56"/>
      <c r="BN833" s="56"/>
      <c r="BO833" s="36" t="s">
        <v>230</v>
      </c>
      <c r="BP833" s="511">
        <v>262291</v>
      </c>
      <c r="BQ833" s="511">
        <v>302419</v>
      </c>
      <c r="BR833" s="511">
        <v>364800</v>
      </c>
      <c r="BS833" s="511">
        <v>466944</v>
      </c>
      <c r="BT833" s="511">
        <v>520205</v>
      </c>
      <c r="BU833" s="56"/>
      <c r="BV833" s="36" t="s">
        <v>230</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8"/>
      <c r="AN834" s="238"/>
      <c r="AO834" s="238"/>
      <c r="AP834" s="238"/>
      <c r="AQ834" s="238"/>
      <c r="AR834" s="238"/>
      <c r="AS834" s="238"/>
      <c r="AT834" s="238"/>
      <c r="AU834" s="238"/>
      <c r="AV834" s="238"/>
      <c r="AW834" s="238"/>
      <c r="AX834" s="238"/>
      <c r="AY834" s="238"/>
      <c r="AZ834" s="52"/>
      <c r="BA834" s="52"/>
      <c r="BB834" s="21"/>
      <c r="BC834" s="21"/>
      <c r="BD834" s="21"/>
      <c r="BE834" s="21"/>
      <c r="BF834" s="21"/>
      <c r="BG834" s="56"/>
      <c r="BH834" s="56"/>
      <c r="BI834" s="56"/>
      <c r="BJ834" s="56"/>
      <c r="BK834" s="56"/>
      <c r="BL834" s="56"/>
      <c r="BM834" s="56"/>
      <c r="BN834" s="56"/>
      <c r="BO834" s="36" t="s">
        <v>231</v>
      </c>
      <c r="BP834" s="509">
        <v>262291</v>
      </c>
      <c r="BQ834" s="509">
        <v>302419</v>
      </c>
      <c r="BR834" s="509">
        <v>364800</v>
      </c>
      <c r="BS834" s="509">
        <v>466944</v>
      </c>
      <c r="BT834" s="509">
        <v>520205</v>
      </c>
      <c r="BU834" s="56"/>
      <c r="BV834" s="36" t="s">
        <v>231</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0" t="s">
        <v>2588</v>
      </c>
      <c r="D835" s="2341"/>
      <c r="E835" s="2341"/>
      <c r="F835" s="2341"/>
      <c r="G835" s="2341"/>
      <c r="H835" s="2341"/>
      <c r="I835" s="2341"/>
      <c r="J835" s="2341"/>
      <c r="K835" s="2341"/>
      <c r="L835" s="2341"/>
      <c r="M835" s="2341"/>
      <c r="N835" s="2341"/>
      <c r="O835" s="2341"/>
      <c r="P835" s="2341"/>
      <c r="Q835" s="2341"/>
      <c r="R835" s="2341"/>
      <c r="S835" s="2341"/>
      <c r="T835" s="2341"/>
      <c r="U835" s="2341"/>
      <c r="V835" s="2341"/>
      <c r="W835" s="2341"/>
      <c r="X835" s="2341"/>
      <c r="Y835" s="2341"/>
      <c r="Z835" s="2341"/>
      <c r="AA835" s="2341"/>
      <c r="AB835" s="2341"/>
      <c r="AC835" s="2341"/>
      <c r="AD835" s="2341"/>
      <c r="AE835" s="2341"/>
      <c r="AF835" s="2341"/>
      <c r="AG835" s="2341"/>
      <c r="AH835" s="2341"/>
      <c r="AI835" s="2341"/>
      <c r="AJ835" s="2342"/>
      <c r="AK835" s="12"/>
      <c r="AL835" s="58"/>
      <c r="AM835" s="238"/>
      <c r="AN835" s="238"/>
      <c r="AO835" s="238"/>
      <c r="AP835" s="238"/>
      <c r="AQ835" s="238"/>
      <c r="AR835" s="238"/>
      <c r="AS835" s="238"/>
      <c r="AT835" s="238"/>
      <c r="AU835" s="238"/>
      <c r="AV835" s="238"/>
      <c r="AW835" s="238"/>
      <c r="AX835" s="238"/>
      <c r="AY835" s="238"/>
      <c r="AZ835" s="52"/>
      <c r="BA835" s="52"/>
      <c r="BB835" s="21"/>
      <c r="BC835" s="21"/>
      <c r="BD835" s="21"/>
      <c r="BE835" s="21"/>
      <c r="BF835" s="21"/>
      <c r="BG835" s="56"/>
      <c r="BH835" s="56"/>
      <c r="BI835" s="56"/>
      <c r="BJ835" s="56"/>
      <c r="BK835" s="56"/>
      <c r="BL835" s="56"/>
      <c r="BM835" s="56"/>
      <c r="BN835" s="56"/>
      <c r="BO835" s="36" t="s">
        <v>233</v>
      </c>
      <c r="BP835" s="511">
        <v>303706</v>
      </c>
      <c r="BQ835" s="511">
        <v>350170</v>
      </c>
      <c r="BR835" s="511">
        <v>422400</v>
      </c>
      <c r="BS835" s="511">
        <v>540672</v>
      </c>
      <c r="BT835" s="511">
        <v>602342</v>
      </c>
      <c r="BU835" s="56"/>
      <c r="BV835" s="36" t="s">
        <v>233</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79"/>
      <c r="C836" s="178" t="s">
        <v>1349</v>
      </c>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12"/>
      <c r="AL836" s="58"/>
      <c r="AM836" s="238"/>
      <c r="AN836" s="238"/>
      <c r="AO836" s="238"/>
      <c r="AP836" s="238"/>
      <c r="AQ836" s="238"/>
      <c r="AR836" s="238"/>
      <c r="AS836" s="238"/>
      <c r="AT836" s="238"/>
      <c r="AU836" s="238"/>
      <c r="AV836" s="238"/>
      <c r="AW836" s="238"/>
      <c r="AX836" s="238"/>
      <c r="AY836" s="238"/>
      <c r="AZ836" s="52"/>
      <c r="BA836" s="52"/>
      <c r="BB836" s="21"/>
      <c r="BC836" s="21"/>
      <c r="BD836" s="21"/>
      <c r="BE836" s="21"/>
      <c r="BF836" s="21"/>
      <c r="BG836" s="56"/>
      <c r="BH836" s="56"/>
      <c r="BI836" s="56"/>
      <c r="BJ836" s="56"/>
      <c r="BK836" s="56"/>
      <c r="BL836" s="56"/>
      <c r="BM836" s="56"/>
      <c r="BN836" s="56"/>
      <c r="BO836" s="36" t="s">
        <v>235</v>
      </c>
      <c r="BP836" s="509">
        <v>299104</v>
      </c>
      <c r="BQ836" s="509">
        <v>344864</v>
      </c>
      <c r="BR836" s="509">
        <v>416000</v>
      </c>
      <c r="BS836" s="509">
        <v>532480</v>
      </c>
      <c r="BT836" s="509">
        <v>593216</v>
      </c>
      <c r="BU836" s="56"/>
      <c r="BV836" s="36" t="s">
        <v>235</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1">
        <v>262291</v>
      </c>
      <c r="BQ837" s="511">
        <v>302419</v>
      </c>
      <c r="BR837" s="511">
        <v>364800</v>
      </c>
      <c r="BS837" s="511">
        <v>466944</v>
      </c>
      <c r="BT837" s="511">
        <v>520205</v>
      </c>
      <c r="BU837" s="56"/>
      <c r="BV837" s="36" t="s">
        <v>236</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9">
        <v>279547</v>
      </c>
      <c r="BQ838" s="509">
        <v>322315</v>
      </c>
      <c r="BR838" s="509">
        <v>388800</v>
      </c>
      <c r="BS838" s="509">
        <v>497664</v>
      </c>
      <c r="BT838" s="509">
        <v>554429</v>
      </c>
      <c r="BU838" s="56"/>
      <c r="BV838" s="36" t="s">
        <v>237</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1">
        <v>278397</v>
      </c>
      <c r="BQ839" s="511">
        <v>320989</v>
      </c>
      <c r="BR839" s="511">
        <v>387200</v>
      </c>
      <c r="BS839" s="511">
        <v>495616</v>
      </c>
      <c r="BT839" s="511">
        <v>552147</v>
      </c>
      <c r="BU839" s="56"/>
      <c r="BV839" s="36" t="s">
        <v>238</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39">
        <v>500</v>
      </c>
      <c r="X840" s="2039"/>
      <c r="Y840" s="2039"/>
      <c r="Z840" s="2039"/>
      <c r="AA840" s="2039"/>
      <c r="AB840" s="2039"/>
      <c r="AC840" s="203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9">
        <v>262291</v>
      </c>
      <c r="BQ840" s="509">
        <v>302419</v>
      </c>
      <c r="BR840" s="509">
        <v>364800</v>
      </c>
      <c r="BS840" s="509">
        <v>466944</v>
      </c>
      <c r="BT840" s="509">
        <v>520205</v>
      </c>
      <c r="BU840" s="56"/>
      <c r="BV840" s="36" t="s">
        <v>240</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39">
        <v>600</v>
      </c>
      <c r="X841" s="2039"/>
      <c r="Y841" s="2039"/>
      <c r="Z841" s="2039"/>
      <c r="AA841" s="2039"/>
      <c r="AB841" s="2039"/>
      <c r="AC841" s="203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1">
        <v>228930</v>
      </c>
      <c r="BQ841" s="511">
        <v>263954</v>
      </c>
      <c r="BR841" s="511">
        <v>318400</v>
      </c>
      <c r="BS841" s="511">
        <v>407552</v>
      </c>
      <c r="BT841" s="511">
        <v>454038</v>
      </c>
      <c r="BU841" s="56"/>
      <c r="BV841" s="36" t="s">
        <v>241</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39">
        <v>8200</v>
      </c>
      <c r="X842" s="2039"/>
      <c r="Y842" s="2039"/>
      <c r="Z842" s="2039"/>
      <c r="AA842" s="2039"/>
      <c r="AB842" s="2039"/>
      <c r="AC842" s="203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9">
        <v>278397</v>
      </c>
      <c r="BQ842" s="509">
        <v>320989</v>
      </c>
      <c r="BR842" s="509">
        <v>387200</v>
      </c>
      <c r="BS842" s="509">
        <v>495616</v>
      </c>
      <c r="BT842" s="509">
        <v>552147</v>
      </c>
      <c r="BU842" s="56"/>
      <c r="BV842" s="36" t="s">
        <v>669</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39">
        <v>0</v>
      </c>
      <c r="X843" s="2039"/>
      <c r="Y843" s="2039"/>
      <c r="Z843" s="2039"/>
      <c r="AA843" s="2039"/>
      <c r="AB843" s="2039"/>
      <c r="AC843" s="203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1">
        <v>262291</v>
      </c>
      <c r="BQ843" s="511">
        <v>302419</v>
      </c>
      <c r="BR843" s="511">
        <v>364800</v>
      </c>
      <c r="BS843" s="511">
        <v>466944</v>
      </c>
      <c r="BT843" s="511">
        <v>520205</v>
      </c>
      <c r="BU843" s="56"/>
      <c r="BV843" s="36" t="s">
        <v>725</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83" t="s">
        <v>2664</v>
      </c>
      <c r="N844" s="2284"/>
      <c r="O844" s="2284"/>
      <c r="P844" s="2284"/>
      <c r="Q844" s="2284"/>
      <c r="R844" s="2284"/>
      <c r="S844" s="2284"/>
      <c r="T844" s="2284"/>
      <c r="U844" s="2284"/>
      <c r="V844" s="2285"/>
      <c r="W844" s="2039">
        <v>16920</v>
      </c>
      <c r="X844" s="2039"/>
      <c r="Y844" s="2039"/>
      <c r="Z844" s="2039"/>
      <c r="AA844" s="2039"/>
      <c r="AB844" s="2039"/>
      <c r="AC844" s="203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1">
        <f>ROUNDDOWN(BC932*2,2)</f>
        <v>0</v>
      </c>
      <c r="BJ844" s="2381"/>
      <c r="BK844" s="2381"/>
      <c r="BL844" s="2381"/>
      <c r="BM844" s="56"/>
      <c r="BN844" s="56"/>
      <c r="BO844" s="36" t="s">
        <v>726</v>
      </c>
      <c r="BP844" s="509">
        <v>228930</v>
      </c>
      <c r="BQ844" s="509">
        <v>263954</v>
      </c>
      <c r="BR844" s="509">
        <v>318400</v>
      </c>
      <c r="BS844" s="509">
        <v>407552</v>
      </c>
      <c r="BT844" s="509">
        <v>454038</v>
      </c>
      <c r="BU844" s="56"/>
      <c r="BV844" s="36" t="s">
        <v>726</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48">
        <f>SUM(W840:AC844)</f>
        <v>26220</v>
      </c>
      <c r="X845" s="2149"/>
      <c r="Y845" s="2149"/>
      <c r="Z845" s="2149"/>
      <c r="AA845" s="2149"/>
      <c r="AB845" s="2149"/>
      <c r="AC845" s="215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1">
        <v>260566</v>
      </c>
      <c r="BQ845" s="511">
        <v>300430</v>
      </c>
      <c r="BR845" s="511">
        <v>362400</v>
      </c>
      <c r="BS845" s="511">
        <v>463872</v>
      </c>
      <c r="BT845" s="511">
        <v>516782</v>
      </c>
      <c r="BU845" s="56"/>
      <c r="BV845" s="36" t="s">
        <v>727</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09">
        <v>511928</v>
      </c>
      <c r="BQ846" s="509">
        <v>590248</v>
      </c>
      <c r="BR846" s="509">
        <v>712000</v>
      </c>
      <c r="BS846" s="509">
        <v>911360</v>
      </c>
      <c r="BT846" s="509">
        <v>1015312</v>
      </c>
      <c r="BU846" s="56"/>
      <c r="BV846" s="36" t="s">
        <v>728</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88" t="s">
        <v>354</v>
      </c>
      <c r="K847" s="2189"/>
      <c r="L847" s="2189"/>
      <c r="M847" s="2189"/>
      <c r="N847" s="2189"/>
      <c r="O847" s="2189"/>
      <c r="P847" s="2189"/>
      <c r="Q847" s="2189"/>
      <c r="R847" s="2189"/>
      <c r="S847" s="2189"/>
      <c r="T847" s="2189"/>
      <c r="U847" s="2189"/>
      <c r="V847" s="2191"/>
      <c r="W847" s="2023">
        <v>39000</v>
      </c>
      <c r="X847" s="2024"/>
      <c r="Y847" s="2024"/>
      <c r="Z847" s="2024"/>
      <c r="AA847" s="2024"/>
      <c r="AB847" s="2024"/>
      <c r="AC847" s="2025"/>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1">
        <v>238133</v>
      </c>
      <c r="BQ847" s="511">
        <v>274565</v>
      </c>
      <c r="BR847" s="511">
        <v>331200</v>
      </c>
      <c r="BS847" s="511">
        <v>423936</v>
      </c>
      <c r="BT847" s="511">
        <v>472291</v>
      </c>
      <c r="BU847" s="56"/>
      <c r="BV847" s="36" t="s">
        <v>247</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9">
        <v>303706</v>
      </c>
      <c r="BQ848" s="509">
        <v>350170</v>
      </c>
      <c r="BR848" s="509">
        <v>422400</v>
      </c>
      <c r="BS848" s="509">
        <v>540672</v>
      </c>
      <c r="BT848" s="509">
        <v>602342</v>
      </c>
      <c r="BU848" s="56"/>
      <c r="BV848" s="36" t="s">
        <v>248</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86">
        <v>0</v>
      </c>
      <c r="X849" s="2286"/>
      <c r="Y849" s="2286"/>
      <c r="Z849" s="2286"/>
      <c r="AA849" s="2286"/>
      <c r="AB849" s="2286"/>
      <c r="AC849" s="228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10">
        <v>440028</v>
      </c>
      <c r="BQ849" s="510">
        <v>507348</v>
      </c>
      <c r="BR849" s="511">
        <v>612000</v>
      </c>
      <c r="BS849" s="510">
        <v>783360</v>
      </c>
      <c r="BT849" s="510">
        <v>872712</v>
      </c>
      <c r="BU849" s="56"/>
      <c r="BV849" s="36" t="s">
        <v>249</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86">
        <v>3900</v>
      </c>
      <c r="X850" s="2286"/>
      <c r="Y850" s="2286"/>
      <c r="Z850" s="2286"/>
      <c r="AA850" s="2286"/>
      <c r="AB850" s="2286"/>
      <c r="AC850" s="228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9">
        <v>303706</v>
      </c>
      <c r="BQ850" s="509">
        <v>350170</v>
      </c>
      <c r="BR850" s="509">
        <v>422400</v>
      </c>
      <c r="BS850" s="509">
        <v>540672</v>
      </c>
      <c r="BT850" s="509">
        <v>602342</v>
      </c>
      <c r="BU850" s="56"/>
      <c r="BV850" s="36" t="s">
        <v>735</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6">
        <v>21840</v>
      </c>
      <c r="X851" s="2286"/>
      <c r="Y851" s="2286"/>
      <c r="Z851" s="2286"/>
      <c r="AA851" s="2286"/>
      <c r="AB851" s="2286"/>
      <c r="AC851" s="228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1"/>
      <c r="BH851" s="2311"/>
      <c r="BI851" s="2311"/>
      <c r="BJ851" s="2311"/>
      <c r="BK851" s="2311"/>
      <c r="BL851" s="2311"/>
      <c r="BM851" s="56"/>
      <c r="BN851" s="56"/>
      <c r="BO851" s="36" t="s">
        <v>736</v>
      </c>
      <c r="BP851" s="510">
        <v>440028</v>
      </c>
      <c r="BQ851" s="510">
        <v>507348</v>
      </c>
      <c r="BR851" s="510">
        <v>612000</v>
      </c>
      <c r="BS851" s="510">
        <v>783360</v>
      </c>
      <c r="BT851" s="510">
        <v>872712</v>
      </c>
      <c r="BU851" s="56"/>
      <c r="BV851" s="36" t="s">
        <v>736</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6">
        <v>50700</v>
      </c>
      <c r="X852" s="2286"/>
      <c r="Y852" s="2286"/>
      <c r="Z852" s="2286"/>
      <c r="AA852" s="2286"/>
      <c r="AB852" s="2286"/>
      <c r="AC852" s="228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9">
        <v>303706</v>
      </c>
      <c r="BQ852" s="509">
        <v>350170</v>
      </c>
      <c r="BR852" s="509">
        <v>422400</v>
      </c>
      <c r="BS852" s="509">
        <v>540672</v>
      </c>
      <c r="BT852" s="509">
        <v>602342</v>
      </c>
      <c r="BU852" s="56"/>
      <c r="BV852" s="36" t="s">
        <v>737</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502">
        <f>SUM(W849:AC852)</f>
        <v>76440</v>
      </c>
      <c r="X853" s="2502"/>
      <c r="Y853" s="2502"/>
      <c r="Z853" s="2502"/>
      <c r="AA853" s="2502"/>
      <c r="AB853" s="2502"/>
      <c r="AC853" s="250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1">
        <v>230655</v>
      </c>
      <c r="BQ853" s="511">
        <v>265943</v>
      </c>
      <c r="BR853" s="511">
        <v>320800</v>
      </c>
      <c r="BS853" s="511">
        <v>410624</v>
      </c>
      <c r="BT853" s="511">
        <v>457461</v>
      </c>
      <c r="BU853" s="56"/>
      <c r="BV853" s="36" t="s">
        <v>738</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9">
        <f>SUM(AZ821:AZ849)</f>
        <v>0</v>
      </c>
      <c r="BA854" s="2289"/>
      <c r="BB854" s="21"/>
      <c r="BC854" s="21"/>
      <c r="BD854" s="21"/>
      <c r="BO854" s="36" t="s">
        <v>739</v>
      </c>
      <c r="BP854" s="509">
        <v>262291</v>
      </c>
      <c r="BQ854" s="509">
        <v>302419</v>
      </c>
      <c r="BR854" s="509">
        <v>364800</v>
      </c>
      <c r="BS854" s="509">
        <v>466944</v>
      </c>
      <c r="BT854" s="509">
        <v>520205</v>
      </c>
      <c r="BU854" s="56"/>
      <c r="BV854" s="36" t="s">
        <v>739</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51">
        <v>42000</v>
      </c>
      <c r="X855" s="2152"/>
      <c r="Y855" s="2152"/>
      <c r="Z855" s="2152"/>
      <c r="AA855" s="2152"/>
      <c r="AB855" s="2152"/>
      <c r="AC855" s="2153"/>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1">
        <v>262291</v>
      </c>
      <c r="BQ855" s="511">
        <v>302419</v>
      </c>
      <c r="BR855" s="511">
        <v>364800</v>
      </c>
      <c r="BS855" s="511">
        <v>466944</v>
      </c>
      <c r="BT855" s="511">
        <v>520205</v>
      </c>
      <c r="BU855" s="56"/>
      <c r="BV855" s="36" t="s">
        <v>740</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356</v>
      </c>
      <c r="D856" s="718"/>
      <c r="E856" s="718"/>
      <c r="F856" s="718"/>
      <c r="G856" s="718"/>
      <c r="H856" s="718"/>
      <c r="I856" s="718"/>
      <c r="J856" s="185" t="s">
        <v>2006</v>
      </c>
      <c r="K856" s="77"/>
      <c r="L856" s="77"/>
      <c r="M856" s="77"/>
      <c r="N856" s="77"/>
      <c r="O856" s="77"/>
      <c r="P856" s="77"/>
      <c r="Q856" s="77"/>
      <c r="R856" s="77"/>
      <c r="S856" s="77"/>
      <c r="T856" s="2347">
        <v>1</v>
      </c>
      <c r="U856" s="2192"/>
      <c r="V856" s="2348"/>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9">
        <v>299104</v>
      </c>
      <c r="BQ856" s="509">
        <v>344864</v>
      </c>
      <c r="BR856" s="509">
        <v>416000</v>
      </c>
      <c r="BS856" s="509">
        <v>532480</v>
      </c>
      <c r="BT856" s="509">
        <v>593216</v>
      </c>
      <c r="BU856" s="56"/>
      <c r="BV856" s="36" t="s">
        <v>741</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51">
        <v>32000</v>
      </c>
      <c r="X857" s="2152"/>
      <c r="Y857" s="2152"/>
      <c r="Z857" s="2152"/>
      <c r="AA857" s="2152"/>
      <c r="AB857" s="2152"/>
      <c r="AC857" s="2153"/>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2007</v>
      </c>
      <c r="K858" s="77"/>
      <c r="L858" s="77"/>
      <c r="M858" s="77"/>
      <c r="N858" s="77"/>
      <c r="O858" s="77"/>
      <c r="P858" s="77"/>
      <c r="Q858" s="77"/>
      <c r="R858" s="77"/>
      <c r="S858" s="77"/>
      <c r="T858" s="2347">
        <v>1</v>
      </c>
      <c r="U858" s="2192"/>
      <c r="V858" s="2348"/>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83" t="s">
        <v>2665</v>
      </c>
      <c r="N859" s="2284"/>
      <c r="O859" s="2284"/>
      <c r="P859" s="2284"/>
      <c r="Q859" s="2284"/>
      <c r="R859" s="2284"/>
      <c r="S859" s="2284"/>
      <c r="T859" s="2284"/>
      <c r="U859" s="2284"/>
      <c r="V859" s="2285"/>
      <c r="W859" s="2151">
        <v>43980</v>
      </c>
      <c r="X859" s="2152"/>
      <c r="Y859" s="2152"/>
      <c r="Z859" s="2152"/>
      <c r="AA859" s="2152"/>
      <c r="AB859" s="2152"/>
      <c r="AC859" s="2153"/>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94">
        <f>SUM(W855:AC859)</f>
        <v>117980</v>
      </c>
      <c r="X860" s="2495"/>
      <c r="Y860" s="2495"/>
      <c r="Z860" s="2495"/>
      <c r="AA860" s="2495"/>
      <c r="AB860" s="2495"/>
      <c r="AC860" s="2496"/>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51">
        <v>22750</v>
      </c>
      <c r="X861" s="2152"/>
      <c r="Y861" s="2152"/>
      <c r="Z861" s="2152"/>
      <c r="AA861" s="2152"/>
      <c r="AB861" s="2152"/>
      <c r="AC861" s="2153"/>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39">
        <v>7800</v>
      </c>
      <c r="X863" s="2039"/>
      <c r="Y863" s="2039"/>
      <c r="Z863" s="2039"/>
      <c r="AA863" s="2039"/>
      <c r="AB863" s="2039"/>
      <c r="AC863" s="2039"/>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39">
        <v>13200</v>
      </c>
      <c r="X864" s="2039"/>
      <c r="Y864" s="2039"/>
      <c r="Z864" s="2039"/>
      <c r="AA864" s="2039"/>
      <c r="AB864" s="2039"/>
      <c r="AC864" s="2039"/>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39">
        <v>11700</v>
      </c>
      <c r="X865" s="2039"/>
      <c r="Y865" s="2039"/>
      <c r="Z865" s="2039"/>
      <c r="AA865" s="2039"/>
      <c r="AB865" s="2039"/>
      <c r="AC865" s="2039"/>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39">
        <v>7800</v>
      </c>
      <c r="X866" s="2039"/>
      <c r="Y866" s="2039"/>
      <c r="Z866" s="2039"/>
      <c r="AA866" s="2039"/>
      <c r="AB866" s="2039"/>
      <c r="AC866" s="2039"/>
      <c r="AZ866" s="61"/>
      <c r="BA866" s="61"/>
      <c r="BB866" s="61"/>
      <c r="BC866" s="61"/>
      <c r="BD866" s="61"/>
      <c r="BE866" s="61"/>
      <c r="BF866" s="61"/>
      <c r="BG866" s="61"/>
      <c r="BH866" s="61"/>
      <c r="BI866" s="61"/>
      <c r="BJ866" s="61"/>
      <c r="BK866" s="61"/>
      <c r="BL866" s="61"/>
      <c r="BM866" s="61"/>
      <c r="BN866" s="61"/>
      <c r="BO866" s="36" t="s">
        <v>334</v>
      </c>
      <c r="BP866" s="509">
        <v>278397</v>
      </c>
      <c r="BQ866" s="509">
        <v>320989</v>
      </c>
      <c r="BR866" s="509">
        <v>387200</v>
      </c>
      <c r="BS866" s="509">
        <v>495616</v>
      </c>
      <c r="BT866" s="509">
        <v>552147</v>
      </c>
      <c r="BU866" s="56"/>
      <c r="BV866" s="36" t="s">
        <v>334</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39">
        <v>15226</v>
      </c>
      <c r="X867" s="2039"/>
      <c r="Y867" s="2039"/>
      <c r="Z867" s="2039"/>
      <c r="AA867" s="2039"/>
      <c r="AB867" s="2039"/>
      <c r="AC867" s="203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39">
        <v>0</v>
      </c>
      <c r="X868" s="2039"/>
      <c r="Y868" s="2039"/>
      <c r="Z868" s="2039"/>
      <c r="AA868" s="2039"/>
      <c r="AB868" s="2039"/>
      <c r="AC868" s="203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83" t="s">
        <v>2666</v>
      </c>
      <c r="N869" s="2284"/>
      <c r="O869" s="2284"/>
      <c r="P869" s="2284"/>
      <c r="Q869" s="2284"/>
      <c r="R869" s="2284"/>
      <c r="S869" s="2284"/>
      <c r="T869" s="2284"/>
      <c r="U869" s="2284"/>
      <c r="V869" s="2285"/>
      <c r="W869" s="2039">
        <v>22860</v>
      </c>
      <c r="X869" s="2039"/>
      <c r="Y869" s="2039"/>
      <c r="Z869" s="2039"/>
      <c r="AA869" s="2039"/>
      <c r="AB869" s="2039"/>
      <c r="AC869" s="2039"/>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47">
        <f>SUM(W863:AC869)</f>
        <v>78586</v>
      </c>
      <c r="X870" s="2147"/>
      <c r="Y870" s="2147"/>
      <c r="Z870" s="2147"/>
      <c r="AA870" s="2147"/>
      <c r="AB870" s="2147"/>
      <c r="AC870" s="214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1459</v>
      </c>
      <c r="J872" s="76" t="s">
        <v>174</v>
      </c>
      <c r="K872" s="77"/>
      <c r="L872" s="77"/>
      <c r="M872" s="2283" t="s">
        <v>2667</v>
      </c>
      <c r="N872" s="2284"/>
      <c r="O872" s="2284"/>
      <c r="P872" s="2284"/>
      <c r="Q872" s="2284"/>
      <c r="R872" s="2284"/>
      <c r="S872" s="2284"/>
      <c r="T872" s="2284"/>
      <c r="U872" s="2284"/>
      <c r="V872" s="2285"/>
      <c r="W872" s="2023">
        <v>240</v>
      </c>
      <c r="X872" s="2024"/>
      <c r="Y872" s="2024"/>
      <c r="Z872" s="2024"/>
      <c r="AA872" s="2024"/>
      <c r="AB872" s="2024"/>
      <c r="AC872" s="2025"/>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1460</v>
      </c>
      <c r="J873" s="76" t="s">
        <v>174</v>
      </c>
      <c r="K873" s="77"/>
      <c r="L873" s="77"/>
      <c r="M873" s="2290" t="s">
        <v>342</v>
      </c>
      <c r="N873" s="2284"/>
      <c r="O873" s="2284"/>
      <c r="P873" s="2284"/>
      <c r="Q873" s="2284"/>
      <c r="R873" s="2284"/>
      <c r="S873" s="2284"/>
      <c r="T873" s="2284"/>
      <c r="U873" s="2284"/>
      <c r="V873" s="2285"/>
      <c r="W873" s="2023"/>
      <c r="X873" s="2024"/>
      <c r="Y873" s="2024"/>
      <c r="Z873" s="2024"/>
      <c r="AA873" s="2024"/>
      <c r="AB873" s="2024"/>
      <c r="AC873" s="2025"/>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90" t="s">
        <v>342</v>
      </c>
      <c r="N874" s="2284"/>
      <c r="O874" s="2284"/>
      <c r="P874" s="2284"/>
      <c r="Q874" s="2284"/>
      <c r="R874" s="2284"/>
      <c r="S874" s="2284"/>
      <c r="T874" s="2284"/>
      <c r="U874" s="2284"/>
      <c r="V874" s="2285"/>
      <c r="W874" s="2023"/>
      <c r="X874" s="2024"/>
      <c r="Y874" s="2024"/>
      <c r="Z874" s="2024"/>
      <c r="AA874" s="2024"/>
      <c r="AB874" s="2024"/>
      <c r="AC874" s="20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90" t="s">
        <v>342</v>
      </c>
      <c r="N875" s="2284"/>
      <c r="O875" s="2284"/>
      <c r="P875" s="2284"/>
      <c r="Q875" s="2284"/>
      <c r="R875" s="2284"/>
      <c r="S875" s="2284"/>
      <c r="T875" s="2284"/>
      <c r="U875" s="2284"/>
      <c r="V875" s="2285"/>
      <c r="W875" s="2023"/>
      <c r="X875" s="2024"/>
      <c r="Y875" s="2024"/>
      <c r="Z875" s="2024"/>
      <c r="AA875" s="2024"/>
      <c r="AB875" s="2024"/>
      <c r="AC875" s="20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90" t="s">
        <v>342</v>
      </c>
      <c r="N876" s="2284"/>
      <c r="O876" s="2284"/>
      <c r="P876" s="2284"/>
      <c r="Q876" s="2284"/>
      <c r="R876" s="2284"/>
      <c r="S876" s="2284"/>
      <c r="T876" s="2284"/>
      <c r="U876" s="2284"/>
      <c r="V876" s="2285"/>
      <c r="W876" s="2023"/>
      <c r="X876" s="2024"/>
      <c r="Y876" s="2024"/>
      <c r="Z876" s="2024"/>
      <c r="AA876" s="2024"/>
      <c r="AB876" s="2024"/>
      <c r="AC876" s="20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48">
        <f>SUM(W872:AC876)</f>
        <v>240</v>
      </c>
      <c r="X877" s="2149"/>
      <c r="Y877" s="2149"/>
      <c r="Z877" s="2149"/>
      <c r="AA877" s="2149"/>
      <c r="AB877" s="2149"/>
      <c r="AC877" s="215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182</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282</v>
      </c>
      <c r="AC881" s="2149">
        <f>W845+W853+W860+W861+W870+W877+W847</f>
        <v>361216</v>
      </c>
      <c r="AD881" s="2149"/>
      <c r="AE881" s="2149"/>
      <c r="AF881" s="2149"/>
      <c r="AG881" s="2149"/>
      <c r="AH881" s="215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45">
        <f>O796+O776+G753</f>
        <v>65</v>
      </c>
      <c r="AD882" s="2345"/>
      <c r="AE882" s="2345"/>
      <c r="AF882" s="2345"/>
      <c r="AG882" s="2345"/>
      <c r="AH882" s="234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43" t="s">
        <v>33</v>
      </c>
      <c r="F883" s="2343"/>
      <c r="G883" s="2343"/>
      <c r="H883" s="2343"/>
      <c r="I883" s="2343"/>
      <c r="J883" s="2343"/>
      <c r="K883" s="2343"/>
      <c r="L883" s="2343"/>
      <c r="M883" s="2343"/>
      <c r="N883" s="2343"/>
      <c r="O883" s="2343"/>
      <c r="P883" s="2343"/>
      <c r="Q883" s="2343"/>
      <c r="R883" s="2343"/>
      <c r="S883" s="2343"/>
      <c r="T883" s="2343"/>
      <c r="U883" s="2343"/>
      <c r="V883" s="2343"/>
      <c r="W883" s="2343"/>
      <c r="X883" s="2343"/>
      <c r="Y883" s="2343"/>
      <c r="Z883" s="2343"/>
      <c r="AA883" s="2343"/>
      <c r="AB883" s="2344"/>
      <c r="AC883" s="2147">
        <f>IF(ISERROR((ROUNDDOWN(AC881/AC882,0))),0,(ROUNDDOWN(AC881/AC882,0)))</f>
        <v>5557</v>
      </c>
      <c r="AD883" s="2147"/>
      <c r="AE883" s="2147"/>
      <c r="AF883" s="2147"/>
      <c r="AG883" s="2147"/>
      <c r="AH883" s="214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497"/>
      <c r="AD884" s="2498"/>
      <c r="AE884" s="2498"/>
      <c r="AF884" s="2498"/>
      <c r="AG884" s="2498"/>
      <c r="AH884" s="249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1353</v>
      </c>
      <c r="AC885" s="2025"/>
      <c r="AD885" s="2039"/>
      <c r="AE885" s="2039"/>
      <c r="AF885" s="2039"/>
      <c r="AG885" s="2039"/>
      <c r="AH885" s="203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39">
        <v>48000</v>
      </c>
      <c r="AD886" s="2039"/>
      <c r="AE886" s="2039"/>
      <c r="AF886" s="2039"/>
      <c r="AG886" s="2039"/>
      <c r="AH886" s="203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24">
        <v>32500</v>
      </c>
      <c r="AD887" s="2024"/>
      <c r="AE887" s="2024"/>
      <c r="AF887" s="2024"/>
      <c r="AG887" s="2024"/>
      <c r="AH887" s="20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2153</v>
      </c>
      <c r="AC888" s="2257">
        <v>3000</v>
      </c>
      <c r="AD888" s="2258"/>
      <c r="AE888" s="2258"/>
      <c r="AF888" s="2258"/>
      <c r="AG888" s="2258"/>
      <c r="AH888" s="225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24">
        <v>2500</v>
      </c>
      <c r="AD889" s="2024"/>
      <c r="AE889" s="2024"/>
      <c r="AF889" s="2024"/>
      <c r="AG889" s="2024"/>
      <c r="AH889" s="2025"/>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2008</v>
      </c>
      <c r="AC890" s="2024"/>
      <c r="AD890" s="2024"/>
      <c r="AE890" s="2024"/>
      <c r="AF890" s="2024"/>
      <c r="AG890" s="2024"/>
      <c r="AH890" s="20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44" t="s">
        <v>2678</v>
      </c>
      <c r="D891" s="2145"/>
      <c r="E891" s="2145"/>
      <c r="F891" s="2145"/>
      <c r="G891" s="2145"/>
      <c r="H891" s="2145"/>
      <c r="I891" s="2145"/>
      <c r="J891" s="2145"/>
      <c r="K891" s="2145"/>
      <c r="L891" s="2145"/>
      <c r="M891" s="2145"/>
      <c r="N891" s="2145"/>
      <c r="O891" s="2145"/>
      <c r="P891" s="2145"/>
      <c r="Q891" s="2145"/>
      <c r="R891" s="2145"/>
      <c r="S891" s="2145"/>
      <c r="T891" s="2145"/>
      <c r="U891" s="2145"/>
      <c r="V891" s="2145"/>
      <c r="W891" s="2145"/>
      <c r="X891" s="2145"/>
      <c r="Y891" s="2145"/>
      <c r="Z891" s="2145"/>
      <c r="AA891" s="2145"/>
      <c r="AB891" s="2146"/>
      <c r="AC891" s="2039">
        <v>4000</v>
      </c>
      <c r="AD891" s="2039"/>
      <c r="AE891" s="2039"/>
      <c r="AF891" s="2039"/>
      <c r="AG891" s="2039"/>
      <c r="AH891" s="203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44" t="s">
        <v>1034</v>
      </c>
      <c r="D892" s="2145"/>
      <c r="E892" s="2145"/>
      <c r="F892" s="2145"/>
      <c r="G892" s="2145"/>
      <c r="H892" s="2145"/>
      <c r="I892" s="2145"/>
      <c r="J892" s="2145"/>
      <c r="K892" s="2145"/>
      <c r="L892" s="2145"/>
      <c r="M892" s="2145"/>
      <c r="N892" s="2145"/>
      <c r="O892" s="2145"/>
      <c r="P892" s="2145"/>
      <c r="Q892" s="2145"/>
      <c r="R892" s="2145"/>
      <c r="S892" s="2145"/>
      <c r="T892" s="2145"/>
      <c r="U892" s="2145"/>
      <c r="V892" s="2145"/>
      <c r="W892" s="2145"/>
      <c r="X892" s="2145"/>
      <c r="Y892" s="2145"/>
      <c r="Z892" s="2145"/>
      <c r="AA892" s="2145"/>
      <c r="AB892" s="2146"/>
      <c r="AC892" s="2039"/>
      <c r="AD892" s="2039"/>
      <c r="AE892" s="2039"/>
      <c r="AF892" s="2039"/>
      <c r="AG892" s="2039"/>
      <c r="AH892" s="203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6"/>
      <c r="AH895" s="286"/>
      <c r="AI895" s="286"/>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23"/>
      <c r="AA896" s="2024"/>
      <c r="AB896" s="2024"/>
      <c r="AC896" s="2024"/>
      <c r="AD896" s="2024"/>
      <c r="AE896" s="2025"/>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23"/>
      <c r="AA897" s="2024"/>
      <c r="AB897" s="2024"/>
      <c r="AC897" s="2024"/>
      <c r="AD897" s="2024"/>
      <c r="AE897" s="20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23"/>
      <c r="AA898" s="2024"/>
      <c r="AB898" s="2024"/>
      <c r="AC898" s="2024"/>
      <c r="AD898" s="2024"/>
      <c r="AE898" s="20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7" t="s">
        <v>246</v>
      </c>
      <c r="Z899" s="2148">
        <f>Z896-(Z897+Z898)</f>
        <v>0</v>
      </c>
      <c r="AA899" s="2149"/>
      <c r="AB899" s="2149"/>
      <c r="AC899" s="2149"/>
      <c r="AD899" s="2149"/>
      <c r="AE899" s="2150"/>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6"/>
      <c r="F900" s="286"/>
      <c r="G900" s="286"/>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6"/>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250</v>
      </c>
      <c r="D901" s="240"/>
      <c r="E901" s="286"/>
      <c r="F901" s="286"/>
      <c r="G901" s="286"/>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6"/>
      <c r="AZ901" s="61"/>
      <c r="BA901" s="25"/>
      <c r="BB901" s="127"/>
      <c r="BC901" s="1606"/>
      <c r="BD901" s="2303"/>
      <c r="BE901" s="2303"/>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8" t="s">
        <v>251</v>
      </c>
      <c r="D902" s="240"/>
      <c r="E902" s="286"/>
      <c r="F902" s="286"/>
      <c r="G902" s="286"/>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6"/>
      <c r="AZ902" s="61"/>
      <c r="BA902" s="25"/>
      <c r="BB902" s="127"/>
      <c r="BC902" s="1606"/>
      <c r="BD902" s="2305"/>
      <c r="BE902" s="2305"/>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8" t="s">
        <v>252</v>
      </c>
      <c r="D903" s="240"/>
      <c r="E903" s="286"/>
      <c r="F903" s="286"/>
      <c r="G903" s="286"/>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6"/>
      <c r="AZ903" s="61"/>
      <c r="BA903" s="25"/>
      <c r="BB903" s="127"/>
      <c r="BC903" s="1606"/>
      <c r="BD903" s="2304"/>
      <c r="BE903" s="2304"/>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1119</v>
      </c>
      <c r="D904" s="240"/>
      <c r="E904" s="286"/>
      <c r="F904" s="286"/>
      <c r="G904" s="286"/>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6"/>
      <c r="AZ904" s="61"/>
      <c r="BA904" s="25"/>
      <c r="BB904" s="127"/>
      <c r="BC904" s="1606"/>
      <c r="BD904" s="2304"/>
      <c r="BE904" s="2304"/>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0"/>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c r="AF905" s="282"/>
      <c r="AG905" s="282"/>
      <c r="AH905" s="282"/>
      <c r="AI905" s="282"/>
      <c r="AJ905" s="39"/>
      <c r="AK905" s="39"/>
      <c r="AL905" s="39"/>
      <c r="AZ905" s="61"/>
      <c r="BA905" s="25"/>
      <c r="BB905" s="127"/>
      <c r="BC905" s="1606"/>
      <c r="BD905" s="2304"/>
      <c r="BE905" s="2304"/>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03"/>
      <c r="BE906" s="2304"/>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86" t="s">
        <v>101</v>
      </c>
      <c r="B907" s="2086"/>
      <c r="C907" s="2086"/>
      <c r="D907" s="2086"/>
      <c r="E907" s="2086"/>
      <c r="F907" s="2086"/>
      <c r="G907" s="2086"/>
      <c r="H907" s="2086"/>
      <c r="I907" s="2086"/>
      <c r="J907" s="2086"/>
      <c r="K907" s="2086"/>
      <c r="L907" s="2086"/>
      <c r="M907" s="2086"/>
      <c r="N907" s="2086"/>
      <c r="O907" s="2086"/>
      <c r="P907" s="2086"/>
      <c r="Q907" s="2086"/>
      <c r="R907" s="2086"/>
      <c r="S907" s="2086"/>
      <c r="T907" s="2086"/>
      <c r="U907" s="2086"/>
      <c r="V907" s="2086"/>
      <c r="W907" s="2086"/>
      <c r="X907" s="2086"/>
      <c r="Y907" s="2086"/>
      <c r="Z907" s="2086"/>
      <c r="AA907" s="2086"/>
      <c r="AB907" s="2086"/>
      <c r="AC907" s="2086"/>
      <c r="AD907" s="2086"/>
      <c r="AE907" s="2086"/>
      <c r="AF907" s="2086"/>
      <c r="AG907" s="2086"/>
      <c r="AH907" s="2086"/>
      <c r="AI907" s="2086"/>
      <c r="AJ907" s="2086"/>
      <c r="AK907" s="2086"/>
      <c r="AL907" s="2086"/>
      <c r="AM907" s="144"/>
      <c r="AN907" s="144"/>
      <c r="AO907" s="144"/>
      <c r="AP907" s="144"/>
      <c r="AQ907" s="144"/>
      <c r="AR907" s="144"/>
      <c r="AS907" s="144"/>
      <c r="AT907" s="144"/>
      <c r="AU907" s="144"/>
      <c r="AV907" s="144"/>
      <c r="AW907" s="144"/>
      <c r="AX907" s="144"/>
      <c r="AY907" s="144"/>
      <c r="AZ907" s="61"/>
      <c r="BA907" s="25"/>
      <c r="BB907" s="127"/>
      <c r="BC907" s="1606"/>
      <c r="BD907" s="2302"/>
      <c r="BE907" s="2302"/>
      <c r="BF907" s="2302"/>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87"/>
      <c r="B908" s="2087"/>
      <c r="C908" s="2087"/>
      <c r="D908" s="2087"/>
      <c r="E908" s="2087"/>
      <c r="F908" s="2087"/>
      <c r="G908" s="2087"/>
      <c r="H908" s="2087"/>
      <c r="I908" s="2087"/>
      <c r="J908" s="2087"/>
      <c r="K908" s="2087"/>
      <c r="L908" s="2087"/>
      <c r="M908" s="2087"/>
      <c r="N908" s="2087"/>
      <c r="O908" s="2087"/>
      <c r="P908" s="2087"/>
      <c r="Q908" s="2087"/>
      <c r="R908" s="2087"/>
      <c r="S908" s="2087"/>
      <c r="T908" s="2087"/>
      <c r="U908" s="2087"/>
      <c r="V908" s="2087"/>
      <c r="W908" s="2087"/>
      <c r="X908" s="2087"/>
      <c r="Y908" s="2087"/>
      <c r="Z908" s="2087"/>
      <c r="AA908" s="2087"/>
      <c r="AB908" s="2087"/>
      <c r="AC908" s="2087"/>
      <c r="AD908" s="2087"/>
      <c r="AE908" s="2087"/>
      <c r="AF908" s="2087"/>
      <c r="AG908" s="2087"/>
      <c r="AH908" s="2087"/>
      <c r="AI908" s="2087"/>
      <c r="AJ908" s="2087"/>
      <c r="AK908" s="2087"/>
      <c r="AL908" s="2087"/>
      <c r="AM908" s="144"/>
      <c r="AN908" s="144"/>
      <c r="AO908" s="144"/>
      <c r="AP908" s="144"/>
      <c r="AQ908" s="144"/>
      <c r="AR908" s="144"/>
      <c r="AS908" s="144"/>
      <c r="AT908" s="144"/>
      <c r="AU908" s="144"/>
      <c r="AV908" s="144"/>
      <c r="AW908" s="144"/>
      <c r="AX908" s="144"/>
      <c r="AY908" s="144"/>
      <c r="AZ908" s="61"/>
      <c r="BA908" s="25"/>
      <c r="BB908" s="127"/>
      <c r="BC908" s="1606"/>
      <c r="BD908" s="2287"/>
      <c r="BE908" s="2287"/>
      <c r="BF908" s="2287"/>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04"/>
      <c r="BE909" s="2304"/>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03"/>
      <c r="BE910" s="2304"/>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9" t="s">
        <v>849</v>
      </c>
      <c r="G912" s="2500"/>
      <c r="H912" s="2500"/>
      <c r="I912" s="2500"/>
      <c r="J912" s="2500"/>
      <c r="K912" s="2500"/>
      <c r="L912" s="2500"/>
      <c r="M912" s="2500"/>
      <c r="N912" s="2500"/>
      <c r="O912" s="2500"/>
      <c r="P912" s="2500"/>
      <c r="Q912" s="2500"/>
      <c r="R912" s="2500"/>
      <c r="S912" s="2500"/>
      <c r="T912" s="2501"/>
      <c r="U912" s="2489" t="s">
        <v>32</v>
      </c>
      <c r="V912" s="2193"/>
      <c r="W912" s="2193"/>
      <c r="X912" s="2193"/>
      <c r="Y912" s="2193"/>
      <c r="Z912" s="2193"/>
      <c r="AA912" s="73"/>
      <c r="AB912" s="161"/>
      <c r="AC912" s="161"/>
      <c r="AD912" s="161"/>
      <c r="AE912" s="161"/>
      <c r="AF912" s="162"/>
      <c r="AZ912" s="61"/>
      <c r="BA912" s="1605"/>
      <c r="BB912" s="127"/>
      <c r="BC912" s="127"/>
      <c r="BD912" s="2303"/>
      <c r="BE912" s="2304"/>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324" t="s">
        <v>878</v>
      </c>
      <c r="G913" s="2325"/>
      <c r="H913" s="2325"/>
      <c r="I913" s="2325"/>
      <c r="J913" s="2325"/>
      <c r="K913" s="2325"/>
      <c r="L913" s="2325"/>
      <c r="M913" s="2325"/>
      <c r="N913" s="2325"/>
      <c r="O913" s="2325"/>
      <c r="P913" s="2325"/>
      <c r="Q913" s="2325"/>
      <c r="R913" s="2325"/>
      <c r="S913" s="2325"/>
      <c r="T913" s="2326"/>
      <c r="U913" s="2324"/>
      <c r="V913" s="2325"/>
      <c r="W913" s="2325"/>
      <c r="X913" s="2325"/>
      <c r="Y913" s="2325"/>
      <c r="Z913" s="2325"/>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327"/>
      <c r="G914" s="2328"/>
      <c r="H914" s="2328"/>
      <c r="I914" s="2328"/>
      <c r="J914" s="2328"/>
      <c r="K914" s="2328"/>
      <c r="L914" s="2328"/>
      <c r="M914" s="2328"/>
      <c r="N914" s="2328"/>
      <c r="O914" s="2328"/>
      <c r="P914" s="2328"/>
      <c r="Q914" s="2328"/>
      <c r="R914" s="2328"/>
      <c r="S914" s="2328"/>
      <c r="T914" s="2329"/>
      <c r="U914" s="2327"/>
      <c r="V914" s="2328"/>
      <c r="W914" s="2328"/>
      <c r="X914" s="2328"/>
      <c r="Y914" s="2328"/>
      <c r="Z914" s="2328"/>
      <c r="AA914" s="164"/>
      <c r="AB914" s="2292" t="s">
        <v>409</v>
      </c>
      <c r="AC914" s="2292"/>
      <c r="AD914" s="2292"/>
      <c r="AE914" s="2292"/>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91" t="s">
        <v>577</v>
      </c>
      <c r="V915" s="2063"/>
      <c r="W915" s="2063"/>
      <c r="X915" s="2063"/>
      <c r="Y915" s="2063"/>
      <c r="Z915" s="2064"/>
      <c r="AA915" s="2029">
        <v>19041460</v>
      </c>
      <c r="AB915" s="2030"/>
      <c r="AC915" s="2030"/>
      <c r="AD915" s="2030"/>
      <c r="AE915" s="2030"/>
      <c r="AF915" s="203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91" t="s">
        <v>577</v>
      </c>
      <c r="V916" s="2063"/>
      <c r="W916" s="2063"/>
      <c r="X916" s="2063"/>
      <c r="Y916" s="2063"/>
      <c r="Z916" s="2064"/>
      <c r="AA916" s="2029">
        <v>8595761</v>
      </c>
      <c r="AB916" s="2030"/>
      <c r="AC916" s="2030"/>
      <c r="AD916" s="2030"/>
      <c r="AE916" s="2030"/>
      <c r="AF916" s="203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91" t="s">
        <v>625</v>
      </c>
      <c r="V917" s="2063"/>
      <c r="W917" s="2063"/>
      <c r="X917" s="2063"/>
      <c r="Y917" s="2063"/>
      <c r="Z917" s="2064"/>
      <c r="AA917" s="2029"/>
      <c r="AB917" s="2030"/>
      <c r="AC917" s="2030"/>
      <c r="AD917" s="2030"/>
      <c r="AE917" s="2030"/>
      <c r="AF917" s="203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91" t="s">
        <v>625</v>
      </c>
      <c r="V918" s="2063"/>
      <c r="W918" s="2063"/>
      <c r="X918" s="2063"/>
      <c r="Y918" s="2063"/>
      <c r="Z918" s="2064"/>
      <c r="AA918" s="2029"/>
      <c r="AB918" s="2030"/>
      <c r="AC918" s="2030"/>
      <c r="AD918" s="2030"/>
      <c r="AE918" s="2030"/>
      <c r="AF918" s="203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91" t="s">
        <v>625</v>
      </c>
      <c r="V919" s="2063"/>
      <c r="W919" s="2063"/>
      <c r="X919" s="2063"/>
      <c r="Y919" s="2063"/>
      <c r="Z919" s="2064"/>
      <c r="AA919" s="2029"/>
      <c r="AB919" s="2030"/>
      <c r="AC919" s="2030"/>
      <c r="AD919" s="2030"/>
      <c r="AE919" s="2030"/>
      <c r="AF919" s="203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91" t="s">
        <v>625</v>
      </c>
      <c r="V920" s="2063"/>
      <c r="W920" s="2063"/>
      <c r="X920" s="2063"/>
      <c r="Y920" s="2063"/>
      <c r="Z920" s="2064"/>
      <c r="AA920" s="2029"/>
      <c r="AB920" s="2030"/>
      <c r="AC920" s="2030"/>
      <c r="AD920" s="2030"/>
      <c r="AE920" s="2030"/>
      <c r="AF920" s="203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91" t="s">
        <v>625</v>
      </c>
      <c r="V921" s="2063"/>
      <c r="W921" s="2063"/>
      <c r="X921" s="2063"/>
      <c r="Y921" s="2063"/>
      <c r="Z921" s="2064"/>
      <c r="AA921" s="2029"/>
      <c r="AB921" s="2030"/>
      <c r="AC921" s="2030"/>
      <c r="AD921" s="2030"/>
      <c r="AE921" s="2030"/>
      <c r="AF921" s="203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91" t="s">
        <v>625</v>
      </c>
      <c r="V922" s="2063"/>
      <c r="W922" s="2063"/>
      <c r="X922" s="2063"/>
      <c r="Y922" s="2063"/>
      <c r="Z922" s="2064"/>
      <c r="AA922" s="2029"/>
      <c r="AB922" s="2030"/>
      <c r="AC922" s="2030"/>
      <c r="AD922" s="2030"/>
      <c r="AE922" s="2030"/>
      <c r="AF922" s="203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91" t="s">
        <v>625</v>
      </c>
      <c r="V923" s="2063"/>
      <c r="W923" s="2063"/>
      <c r="X923" s="2063"/>
      <c r="Y923" s="2063"/>
      <c r="Z923" s="2064"/>
      <c r="AA923" s="2029"/>
      <c r="AB923" s="2030"/>
      <c r="AC923" s="2030"/>
      <c r="AD923" s="2030"/>
      <c r="AE923" s="2030"/>
      <c r="AF923" s="203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4" t="s">
        <v>712</v>
      </c>
      <c r="G924" s="77"/>
      <c r="H924" s="77"/>
      <c r="I924" s="77"/>
      <c r="J924" s="77"/>
      <c r="K924" s="77"/>
      <c r="L924" s="77"/>
      <c r="M924" s="77"/>
      <c r="N924" s="77"/>
      <c r="O924" s="77"/>
      <c r="P924" s="77"/>
      <c r="Q924" s="77"/>
      <c r="R924" s="77"/>
      <c r="S924" s="77"/>
      <c r="T924" s="78"/>
      <c r="U924" s="2291" t="s">
        <v>625</v>
      </c>
      <c r="V924" s="2063"/>
      <c r="W924" s="2063"/>
      <c r="X924" s="2063"/>
      <c r="Y924" s="2063"/>
      <c r="Z924" s="2064"/>
      <c r="AA924" s="2029"/>
      <c r="AB924" s="2030"/>
      <c r="AC924" s="2030"/>
      <c r="AD924" s="2030"/>
      <c r="AE924" s="2030"/>
      <c r="AF924" s="203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291" t="s">
        <v>625</v>
      </c>
      <c r="V925" s="2063"/>
      <c r="W925" s="2063"/>
      <c r="X925" s="2063"/>
      <c r="Y925" s="2063"/>
      <c r="Z925" s="2064"/>
      <c r="AA925" s="2029"/>
      <c r="AB925" s="2030"/>
      <c r="AC925" s="2030"/>
      <c r="AD925" s="2030"/>
      <c r="AE925" s="2030"/>
      <c r="AF925" s="203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91" t="s">
        <v>625</v>
      </c>
      <c r="V926" s="2063"/>
      <c r="W926" s="2063"/>
      <c r="X926" s="2063"/>
      <c r="Y926" s="2063"/>
      <c r="Z926" s="2064"/>
      <c r="AA926" s="2029"/>
      <c r="AB926" s="2030"/>
      <c r="AC926" s="2030"/>
      <c r="AD926" s="2030"/>
      <c r="AE926" s="2030"/>
      <c r="AF926" s="203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5"/>
      <c r="U927" s="2291" t="s">
        <v>625</v>
      </c>
      <c r="V927" s="2063"/>
      <c r="W927" s="2063"/>
      <c r="X927" s="2063"/>
      <c r="Y927" s="2063"/>
      <c r="Z927" s="2064"/>
      <c r="AA927" s="2029"/>
      <c r="AB927" s="2030"/>
      <c r="AC927" s="2030"/>
      <c r="AD927" s="2030"/>
      <c r="AE927" s="2030"/>
      <c r="AF927" s="203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1491</v>
      </c>
      <c r="G928" s="148"/>
      <c r="H928" s="148"/>
      <c r="I928" s="148"/>
      <c r="J928" s="148"/>
      <c r="K928" s="148"/>
      <c r="L928" s="148"/>
      <c r="M928" s="148"/>
      <c r="N928" s="148"/>
      <c r="O928" s="148"/>
      <c r="P928" s="148"/>
      <c r="Q928" s="148"/>
      <c r="R928" s="148"/>
      <c r="S928" s="148"/>
      <c r="T928" s="335"/>
      <c r="U928" s="2291" t="s">
        <v>625</v>
      </c>
      <c r="V928" s="2063"/>
      <c r="W928" s="2063"/>
      <c r="X928" s="2063"/>
      <c r="Y928" s="2063"/>
      <c r="Z928" s="2064"/>
      <c r="AA928" s="2029"/>
      <c r="AB928" s="2030"/>
      <c r="AC928" s="2030"/>
      <c r="AD928" s="2030"/>
      <c r="AE928" s="2030"/>
      <c r="AF928" s="203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1492</v>
      </c>
      <c r="G929" s="77"/>
      <c r="H929" s="77"/>
      <c r="I929" s="77"/>
      <c r="J929" s="77"/>
      <c r="K929" s="77"/>
      <c r="L929" s="77"/>
      <c r="M929" s="77"/>
      <c r="N929" s="77"/>
      <c r="O929" s="77"/>
      <c r="P929" s="148"/>
      <c r="Q929" s="148"/>
      <c r="R929" s="148"/>
      <c r="S929" s="148"/>
      <c r="T929" s="335"/>
      <c r="U929" s="2291" t="s">
        <v>625</v>
      </c>
      <c r="V929" s="2063"/>
      <c r="W929" s="2063"/>
      <c r="X929" s="2063"/>
      <c r="Y929" s="2063"/>
      <c r="Z929" s="2064"/>
      <c r="AA929" s="2029"/>
      <c r="AB929" s="2030"/>
      <c r="AC929" s="2030"/>
      <c r="AD929" s="2030"/>
      <c r="AE929" s="2030"/>
      <c r="AF929" s="203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91" t="s">
        <v>705</v>
      </c>
      <c r="Q930" s="2063"/>
      <c r="R930" s="2063"/>
      <c r="S930" s="2063"/>
      <c r="T930" s="2064"/>
      <c r="U930" s="2291" t="s">
        <v>625</v>
      </c>
      <c r="V930" s="2063"/>
      <c r="W930" s="2063"/>
      <c r="X930" s="2063"/>
      <c r="Y930" s="2063"/>
      <c r="Z930" s="2064"/>
      <c r="AA930" s="2029"/>
      <c r="AB930" s="2030"/>
      <c r="AC930" s="2030"/>
      <c r="AD930" s="2030"/>
      <c r="AE930" s="2030"/>
      <c r="AF930" s="203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69" t="s">
        <v>2695</v>
      </c>
      <c r="J931" s="2570"/>
      <c r="K931" s="2570"/>
      <c r="L931" s="2570"/>
      <c r="M931" s="2570"/>
      <c r="N931" s="2570"/>
      <c r="O931" s="2570"/>
      <c r="P931" s="2570"/>
      <c r="Q931" s="2570"/>
      <c r="R931" s="2570"/>
      <c r="S931" s="2570"/>
      <c r="T931" s="2571"/>
      <c r="U931" s="2291" t="s">
        <v>577</v>
      </c>
      <c r="V931" s="2063"/>
      <c r="W931" s="2063"/>
      <c r="X931" s="2063"/>
      <c r="Y931" s="2063"/>
      <c r="Z931" s="2064"/>
      <c r="AA931" s="2029">
        <v>13003254</v>
      </c>
      <c r="AB931" s="2030"/>
      <c r="AC931" s="2030"/>
      <c r="AD931" s="2030"/>
      <c r="AE931" s="2030"/>
      <c r="AF931" s="203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569" t="s">
        <v>2520</v>
      </c>
      <c r="J932" s="2570"/>
      <c r="K932" s="2570"/>
      <c r="L932" s="2570"/>
      <c r="M932" s="2570"/>
      <c r="N932" s="2570"/>
      <c r="O932" s="2570"/>
      <c r="P932" s="2570"/>
      <c r="Q932" s="2570"/>
      <c r="R932" s="2570"/>
      <c r="S932" s="2570"/>
      <c r="T932" s="2571"/>
      <c r="U932" s="2291" t="s">
        <v>577</v>
      </c>
      <c r="V932" s="2063"/>
      <c r="W932" s="2063"/>
      <c r="X932" s="2063"/>
      <c r="Y932" s="2063"/>
      <c r="Z932" s="2064"/>
      <c r="AA932" s="2029">
        <v>4000000</v>
      </c>
      <c r="AB932" s="2030"/>
      <c r="AC932" s="2030"/>
      <c r="AD932" s="2030"/>
      <c r="AE932" s="2030"/>
      <c r="AF932" s="203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569" t="s">
        <v>2696</v>
      </c>
      <c r="J933" s="2570"/>
      <c r="K933" s="2570"/>
      <c r="L933" s="2570"/>
      <c r="M933" s="2570"/>
      <c r="N933" s="2570"/>
      <c r="O933" s="2570"/>
      <c r="P933" s="2570"/>
      <c r="Q933" s="2570"/>
      <c r="R933" s="2570"/>
      <c r="S933" s="2570"/>
      <c r="T933" s="2571"/>
      <c r="U933" s="2291" t="s">
        <v>577</v>
      </c>
      <c r="V933" s="2063"/>
      <c r="W933" s="2063"/>
      <c r="X933" s="2063"/>
      <c r="Y933" s="2063"/>
      <c r="Z933" s="2064"/>
      <c r="AA933" s="2029">
        <v>3235000</v>
      </c>
      <c r="AB933" s="2030"/>
      <c r="AC933" s="2030"/>
      <c r="AD933" s="2030"/>
      <c r="AE933" s="2030"/>
      <c r="AF933" s="203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61" t="s">
        <v>342</v>
      </c>
      <c r="J934" s="2262"/>
      <c r="K934" s="2262"/>
      <c r="L934" s="2262"/>
      <c r="M934" s="2262"/>
      <c r="N934" s="2262"/>
      <c r="O934" s="2262"/>
      <c r="P934" s="2262"/>
      <c r="Q934" s="2262"/>
      <c r="R934" s="2262"/>
      <c r="S934" s="2262"/>
      <c r="T934" s="2263"/>
      <c r="U934" s="2291" t="s">
        <v>625</v>
      </c>
      <c r="V934" s="2063"/>
      <c r="W934" s="2063"/>
      <c r="X934" s="2063"/>
      <c r="Y934" s="2063"/>
      <c r="Z934" s="2064"/>
      <c r="AA934" s="2029"/>
      <c r="AB934" s="2030"/>
      <c r="AC934" s="2030"/>
      <c r="AD934" s="2030"/>
      <c r="AE934" s="2030"/>
      <c r="AF934" s="203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1">
        <v>44313</v>
      </c>
      <c r="N939" s="2322"/>
      <c r="O939" s="2322"/>
      <c r="P939" s="2322"/>
      <c r="Q939" s="2322"/>
      <c r="R939" s="2322"/>
      <c r="S939" s="2323"/>
      <c r="U939" s="103" t="s">
        <v>11</v>
      </c>
      <c r="V939" s="77"/>
      <c r="W939" s="77"/>
      <c r="X939" s="77"/>
      <c r="Y939" s="77"/>
      <c r="Z939" s="77"/>
      <c r="AA939" s="77"/>
      <c r="AB939" s="77"/>
      <c r="AC939" s="77"/>
      <c r="AD939" s="78"/>
      <c r="AE939" s="2321"/>
      <c r="AF939" s="2322"/>
      <c r="AG939" s="2322"/>
      <c r="AH939" s="2322"/>
      <c r="AI939" s="2322"/>
      <c r="AJ939" s="2322"/>
      <c r="AK939" s="232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2" t="s">
        <v>2668</v>
      </c>
      <c r="N940" s="2313"/>
      <c r="O940" s="2313"/>
      <c r="P940" s="2313"/>
      <c r="Q940" s="2313"/>
      <c r="R940" s="2313"/>
      <c r="S940" s="2314"/>
      <c r="U940" s="103" t="s">
        <v>12</v>
      </c>
      <c r="V940" s="77"/>
      <c r="W940" s="77"/>
      <c r="X940" s="77"/>
      <c r="Y940" s="77"/>
      <c r="Z940" s="77"/>
      <c r="AA940" s="77"/>
      <c r="AB940" s="77"/>
      <c r="AC940" s="77"/>
      <c r="AD940" s="78"/>
      <c r="AE940" s="2312"/>
      <c r="AF940" s="2313"/>
      <c r="AG940" s="2313"/>
      <c r="AH940" s="2313"/>
      <c r="AI940" s="2313"/>
      <c r="AJ940" s="2313"/>
      <c r="AK940" s="231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15" t="s">
        <v>2629</v>
      </c>
      <c r="K941" s="2316"/>
      <c r="L941" s="2316"/>
      <c r="M941" s="2316"/>
      <c r="N941" s="2316"/>
      <c r="O941" s="2316"/>
      <c r="P941" s="2316"/>
      <c r="Q941" s="2316"/>
      <c r="R941" s="2316"/>
      <c r="S941" s="2317"/>
      <c r="U941" s="103" t="s">
        <v>944</v>
      </c>
      <c r="V941" s="77"/>
      <c r="W941" s="77"/>
      <c r="AB941" s="2315" t="s">
        <v>315</v>
      </c>
      <c r="AC941" s="2316"/>
      <c r="AD941" s="2316"/>
      <c r="AE941" s="2316"/>
      <c r="AF941" s="2316"/>
      <c r="AG941" s="2316"/>
      <c r="AH941" s="2316"/>
      <c r="AI941" s="2316"/>
      <c r="AJ941" s="2316"/>
      <c r="AK941" s="231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1">
        <v>0.25</v>
      </c>
      <c r="N942" s="2334"/>
      <c r="O942" s="2334"/>
      <c r="P942" s="2334"/>
      <c r="Q942" s="2334"/>
      <c r="R942" s="2334"/>
      <c r="S942" s="2335"/>
      <c r="U942" s="103" t="s">
        <v>13</v>
      </c>
      <c r="V942" s="77"/>
      <c r="W942" s="77"/>
      <c r="X942" s="77"/>
      <c r="Y942" s="77"/>
      <c r="Z942" s="77"/>
      <c r="AA942" s="77"/>
      <c r="AB942" s="77"/>
      <c r="AC942" s="77"/>
      <c r="AD942" s="78"/>
      <c r="AE942" s="2333"/>
      <c r="AF942" s="2334"/>
      <c r="AG942" s="2334"/>
      <c r="AH942" s="2334"/>
      <c r="AI942" s="2334"/>
      <c r="AJ942" s="2334"/>
      <c r="AK942" s="233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4">
        <v>16</v>
      </c>
      <c r="N943" s="2265"/>
      <c r="O943" s="2265"/>
      <c r="P943" s="2265"/>
      <c r="Q943" s="2265"/>
      <c r="R943" s="2265"/>
      <c r="S943" s="2266"/>
      <c r="U943" s="103" t="s">
        <v>14</v>
      </c>
      <c r="V943" s="77"/>
      <c r="W943" s="77"/>
      <c r="X943" s="77"/>
      <c r="Y943" s="77"/>
      <c r="Z943" s="77"/>
      <c r="AA943" s="77"/>
      <c r="AB943" s="77"/>
      <c r="AC943" s="77"/>
      <c r="AD943" s="78"/>
      <c r="AE943" s="2264"/>
      <c r="AF943" s="2265"/>
      <c r="AG943" s="2265"/>
      <c r="AH943" s="2265"/>
      <c r="AI943" s="2265"/>
      <c r="AJ943" s="2265"/>
      <c r="AK943" s="226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029">
        <v>176920</v>
      </c>
      <c r="N944" s="2030"/>
      <c r="O944" s="2030"/>
      <c r="P944" s="2030"/>
      <c r="Q944" s="2030"/>
      <c r="R944" s="2030"/>
      <c r="S944" s="2031"/>
      <c r="U944" s="103" t="s">
        <v>15</v>
      </c>
      <c r="V944" s="77"/>
      <c r="W944" s="77"/>
      <c r="X944" s="77"/>
      <c r="Y944" s="77"/>
      <c r="Z944" s="77"/>
      <c r="AA944" s="77"/>
      <c r="AB944" s="77"/>
      <c r="AC944" s="77"/>
      <c r="AD944" s="78"/>
      <c r="AE944" s="2029"/>
      <c r="AF944" s="2030"/>
      <c r="AG944" s="2030"/>
      <c r="AH944" s="2030"/>
      <c r="AI944" s="2030"/>
      <c r="AJ944" s="2030"/>
      <c r="AK944" s="203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029">
        <v>4487760</v>
      </c>
      <c r="N945" s="2030"/>
      <c r="O945" s="2030"/>
      <c r="P945" s="2030"/>
      <c r="Q945" s="2030"/>
      <c r="R945" s="2030"/>
      <c r="S945" s="2031"/>
      <c r="U945" s="103" t="s">
        <v>16</v>
      </c>
      <c r="V945" s="77"/>
      <c r="W945" s="77"/>
      <c r="X945" s="77"/>
      <c r="Y945" s="77"/>
      <c r="Z945" s="77"/>
      <c r="AA945" s="77"/>
      <c r="AB945" s="77"/>
      <c r="AC945" s="77"/>
      <c r="AD945" s="78"/>
      <c r="AE945" s="2029"/>
      <c r="AF945" s="2030"/>
      <c r="AG945" s="2030"/>
      <c r="AH945" s="2030"/>
      <c r="AI945" s="2030"/>
      <c r="AJ945" s="2030"/>
      <c r="AK945" s="203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30" t="s">
        <v>2669</v>
      </c>
      <c r="N946" s="2331"/>
      <c r="O946" s="2331"/>
      <c r="P946" s="2331"/>
      <c r="Q946" s="2331"/>
      <c r="R946" s="2331"/>
      <c r="S946" s="2332"/>
      <c r="U946" s="103" t="s">
        <v>604</v>
      </c>
      <c r="V946" s="77"/>
      <c r="W946" s="77"/>
      <c r="X946" s="77"/>
      <c r="Y946" s="77"/>
      <c r="Z946" s="77"/>
      <c r="AA946" s="77"/>
      <c r="AB946" s="77"/>
      <c r="AC946" s="77"/>
      <c r="AD946" s="78"/>
      <c r="AE946" s="2330"/>
      <c r="AF946" s="2331"/>
      <c r="AG946" s="2331"/>
      <c r="AH946" s="2331"/>
      <c r="AI946" s="2331"/>
      <c r="AJ946" s="2331"/>
      <c r="AK946" s="233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96"/>
      <c r="N951" s="2297"/>
      <c r="O951" s="2297"/>
      <c r="P951" s="2297"/>
      <c r="Q951" s="2297"/>
      <c r="R951" s="2297"/>
      <c r="S951" s="2298"/>
      <c r="T951" s="103" t="s">
        <v>847</v>
      </c>
      <c r="U951" s="77"/>
      <c r="V951" s="77"/>
      <c r="W951" s="77"/>
      <c r="X951" s="77"/>
      <c r="Y951" s="77"/>
      <c r="Z951" s="78"/>
      <c r="AA951" s="2296"/>
      <c r="AB951" s="2297"/>
      <c r="AC951" s="2297"/>
      <c r="AD951" s="2297"/>
      <c r="AE951" s="2297"/>
      <c r="AF951" s="2297"/>
      <c r="AG951" s="229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96"/>
      <c r="N952" s="2297"/>
      <c r="O952" s="2297"/>
      <c r="P952" s="2297"/>
      <c r="Q952" s="2297"/>
      <c r="R952" s="2297"/>
      <c r="S952" s="2298"/>
      <c r="T952" s="103" t="s">
        <v>846</v>
      </c>
      <c r="U952" s="77"/>
      <c r="V952" s="77"/>
      <c r="W952" s="77"/>
      <c r="X952" s="77"/>
      <c r="Y952" s="77"/>
      <c r="Z952" s="78"/>
      <c r="AA952" s="2296"/>
      <c r="AB952" s="2297"/>
      <c r="AC952" s="2297"/>
      <c r="AD952" s="2297"/>
      <c r="AE952" s="2297"/>
      <c r="AF952" s="2297"/>
      <c r="AG952" s="229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93" t="s">
        <v>625</v>
      </c>
      <c r="N953" s="2294"/>
      <c r="O953" s="2294"/>
      <c r="P953" s="2294"/>
      <c r="Q953" s="2294"/>
      <c r="R953" s="2294"/>
      <c r="S953" s="2295"/>
      <c r="T953" s="76" t="s">
        <v>345</v>
      </c>
      <c r="U953" s="77"/>
      <c r="V953" s="77"/>
      <c r="W953" s="77"/>
      <c r="X953" s="77"/>
      <c r="Y953" s="77"/>
      <c r="Z953" s="78"/>
      <c r="AA953" s="2296"/>
      <c r="AB953" s="2297"/>
      <c r="AC953" s="2297"/>
      <c r="AD953" s="2297"/>
      <c r="AE953" s="2297"/>
      <c r="AF953" s="2297"/>
      <c r="AG953" s="229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96"/>
      <c r="N954" s="2297"/>
      <c r="O954" s="2297"/>
      <c r="P954" s="2297"/>
      <c r="Q954" s="2297"/>
      <c r="R954" s="2297"/>
      <c r="S954" s="2298"/>
      <c r="T954" s="76" t="s">
        <v>346</v>
      </c>
      <c r="U954" s="77"/>
      <c r="V954" s="77"/>
      <c r="W954" s="77"/>
      <c r="X954" s="77"/>
      <c r="Y954" s="77"/>
      <c r="Z954" s="78"/>
      <c r="AA954" s="2296"/>
      <c r="AB954" s="2297"/>
      <c r="AC954" s="2297"/>
      <c r="AD954" s="2297"/>
      <c r="AE954" s="2297"/>
      <c r="AF954" s="2297"/>
      <c r="AG954" s="229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96"/>
      <c r="N955" s="2297"/>
      <c r="O955" s="2297"/>
      <c r="P955" s="2297"/>
      <c r="Q955" s="2297"/>
      <c r="R955" s="2297"/>
      <c r="S955" s="2298"/>
      <c r="T955" s="76" t="s">
        <v>393</v>
      </c>
      <c r="U955" s="77"/>
      <c r="V955" s="77"/>
      <c r="W955" s="77"/>
      <c r="X955" s="77"/>
      <c r="Y955" s="77"/>
      <c r="Z955" s="78"/>
      <c r="AA955" s="2296"/>
      <c r="AB955" s="2297"/>
      <c r="AC955" s="2297"/>
      <c r="AD955" s="2297"/>
      <c r="AE955" s="2297"/>
      <c r="AF955" s="2297"/>
      <c r="AG955" s="229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0" t="s">
        <v>944</v>
      </c>
      <c r="G956" s="72"/>
      <c r="H956" s="72"/>
      <c r="I956" s="72"/>
      <c r="J956" s="72"/>
      <c r="K956" s="72"/>
      <c r="L956" s="94"/>
      <c r="M956" s="2299" t="s">
        <v>315</v>
      </c>
      <c r="N956" s="2300"/>
      <c r="O956" s="2300"/>
      <c r="P956" s="2300"/>
      <c r="Q956" s="2300"/>
      <c r="R956" s="2300"/>
      <c r="S956" s="2301"/>
      <c r="T956" s="2318"/>
      <c r="U956" s="2319"/>
      <c r="V956" s="2319"/>
      <c r="W956" s="2319"/>
      <c r="X956" s="2319"/>
      <c r="Y956" s="2319"/>
      <c r="Z956" s="2320"/>
      <c r="AA956" s="2296"/>
      <c r="AB956" s="2297"/>
      <c r="AC956" s="2297"/>
      <c r="AD956" s="2297"/>
      <c r="AE956" s="2297"/>
      <c r="AF956" s="2297"/>
      <c r="AG956" s="229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96"/>
      <c r="N957" s="2297"/>
      <c r="O957" s="2297"/>
      <c r="P957" s="2297"/>
      <c r="Q957" s="2297"/>
      <c r="R957" s="2297"/>
      <c r="S957" s="2298"/>
      <c r="T957" s="2318"/>
      <c r="U957" s="2319"/>
      <c r="V957" s="2319"/>
      <c r="W957" s="2319"/>
      <c r="X957" s="2319"/>
      <c r="Y957" s="2319"/>
      <c r="Z957" s="2320"/>
      <c r="AA957" s="2296"/>
      <c r="AB957" s="2297"/>
      <c r="AC957" s="2297"/>
      <c r="AD957" s="2297"/>
      <c r="AE957" s="2297"/>
      <c r="AF957" s="2297"/>
      <c r="AG957" s="229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50" t="s">
        <v>705</v>
      </c>
      <c r="P958" s="2127"/>
      <c r="Q958" s="139"/>
      <c r="R958" s="139"/>
      <c r="S958" s="140"/>
      <c r="T958" s="71" t="s">
        <v>174</v>
      </c>
      <c r="U958" s="72"/>
      <c r="V958" s="72"/>
      <c r="W958" s="2290" t="s">
        <v>342</v>
      </c>
      <c r="X958" s="2284"/>
      <c r="Y958" s="2284"/>
      <c r="Z958" s="2284"/>
      <c r="AA958" s="2284"/>
      <c r="AB958" s="2284"/>
      <c r="AC958" s="2284"/>
      <c r="AD958" s="2284"/>
      <c r="AE958" s="2284"/>
      <c r="AF958" s="2284"/>
      <c r="AG958" s="228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80" t="s">
        <v>34</v>
      </c>
      <c r="G959" s="2281"/>
      <c r="H959" s="2281"/>
      <c r="I959" s="2281"/>
      <c r="J959" s="2281"/>
      <c r="K959" s="2281"/>
      <c r="L959" s="2281"/>
      <c r="M959" s="2296"/>
      <c r="N959" s="2297"/>
      <c r="O959" s="2297"/>
      <c r="P959" s="2297"/>
      <c r="Q959" s="2297"/>
      <c r="R959" s="2297"/>
      <c r="S959" s="2298"/>
      <c r="T959" s="79"/>
      <c r="U959" s="80"/>
      <c r="V959" s="80"/>
      <c r="W959" s="80"/>
      <c r="X959" s="80"/>
      <c r="Y959" s="80"/>
      <c r="Z959" s="188" t="s">
        <v>139</v>
      </c>
      <c r="AA959" s="2490"/>
      <c r="AB959" s="2491"/>
      <c r="AC959" s="2491"/>
      <c r="AD959" s="2491"/>
      <c r="AE959" s="2491"/>
      <c r="AF959" s="2491"/>
      <c r="AG959" s="249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493" t="s">
        <v>580</v>
      </c>
      <c r="B963" s="2493"/>
      <c r="C963" s="2493"/>
      <c r="D963" s="2493"/>
      <c r="E963" s="2493"/>
      <c r="F963" s="2493"/>
      <c r="G963" s="2493"/>
      <c r="H963" s="2493"/>
      <c r="I963" s="2493"/>
      <c r="J963" s="2493"/>
      <c r="K963" s="2493"/>
      <c r="L963" s="2493"/>
      <c r="M963" s="2493"/>
      <c r="N963" s="2493"/>
      <c r="O963" s="2493"/>
      <c r="P963" s="2493"/>
      <c r="Q963" s="2493"/>
      <c r="R963" s="2493"/>
      <c r="S963" s="2493"/>
      <c r="T963" s="2493"/>
      <c r="U963" s="2493"/>
      <c r="V963" s="2493"/>
      <c r="W963" s="2493"/>
      <c r="X963" s="2493"/>
      <c r="Y963" s="2493"/>
      <c r="Z963" s="2493"/>
      <c r="AA963" s="2493"/>
      <c r="AB963" s="2493"/>
      <c r="AC963" s="2493"/>
      <c r="AD963" s="2493"/>
      <c r="AE963" s="2493"/>
      <c r="AF963" s="2493"/>
      <c r="AG963" s="2493"/>
      <c r="AH963" s="2493"/>
      <c r="AI963" s="2493"/>
      <c r="AJ963" s="2493"/>
      <c r="AK963" s="2493"/>
      <c r="AL963" s="2493"/>
      <c r="AM963" s="2493"/>
      <c r="AN963" s="2493"/>
      <c r="AO963" s="2493"/>
      <c r="AP963" s="2493"/>
      <c r="AQ963" s="2493"/>
      <c r="AR963" s="2493"/>
      <c r="AS963" s="249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493"/>
      <c r="B964" s="2493"/>
      <c r="C964" s="2493"/>
      <c r="D964" s="2493"/>
      <c r="E964" s="2493"/>
      <c r="F964" s="2493"/>
      <c r="G964" s="2493"/>
      <c r="H964" s="2493"/>
      <c r="I964" s="2493"/>
      <c r="J964" s="2493"/>
      <c r="K964" s="2493"/>
      <c r="L964" s="2493"/>
      <c r="M964" s="2493"/>
      <c r="N964" s="2493"/>
      <c r="O964" s="2493"/>
      <c r="P964" s="2493"/>
      <c r="Q964" s="2493"/>
      <c r="R964" s="2493"/>
      <c r="S964" s="2493"/>
      <c r="T964" s="2493"/>
      <c r="U964" s="2493"/>
      <c r="V964" s="2493"/>
      <c r="W964" s="2493"/>
      <c r="X964" s="2493"/>
      <c r="Y964" s="2493"/>
      <c r="Z964" s="2493"/>
      <c r="AA964" s="2493"/>
      <c r="AB964" s="2493"/>
      <c r="AC964" s="2493"/>
      <c r="AD964" s="2493"/>
      <c r="AE964" s="2493"/>
      <c r="AF964" s="2493"/>
      <c r="AG964" s="2493"/>
      <c r="AH964" s="2493"/>
      <c r="AI964" s="2493"/>
      <c r="AJ964" s="2493"/>
      <c r="AK964" s="2493"/>
      <c r="AL964" s="2493"/>
      <c r="AM964" s="2493"/>
      <c r="AN964" s="2493"/>
      <c r="AO964" s="2493"/>
      <c r="AP964" s="2493"/>
      <c r="AQ964" s="2493"/>
      <c r="AR964" s="2493"/>
      <c r="AS964" s="249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11"/>
      <c r="BH965" s="2311"/>
      <c r="BI965" s="2311"/>
      <c r="BJ965" s="2311"/>
      <c r="BK965" s="2311"/>
      <c r="BL965" s="2311"/>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483" t="s">
        <v>672</v>
      </c>
      <c r="E968" s="2484"/>
      <c r="F968" s="2484"/>
      <c r="G968" s="2484"/>
      <c r="H968" s="2484"/>
      <c r="I968" s="2484"/>
      <c r="J968" s="2484"/>
      <c r="K968" s="2484"/>
      <c r="L968" s="2484"/>
      <c r="M968" s="2484"/>
      <c r="N968" s="2484"/>
      <c r="O968" s="2484"/>
      <c r="P968" s="2484"/>
      <c r="Q968" s="2485"/>
      <c r="R968" s="2483" t="s">
        <v>673</v>
      </c>
      <c r="S968" s="2484"/>
      <c r="T968" s="2484"/>
      <c r="U968" s="2484"/>
      <c r="V968" s="2484"/>
      <c r="W968" s="2484"/>
      <c r="X968" s="2484"/>
      <c r="Y968" s="2484"/>
      <c r="Z968" s="2484"/>
      <c r="AA968" s="2485"/>
      <c r="AB968" s="2483" t="s">
        <v>674</v>
      </c>
      <c r="AC968" s="2484"/>
      <c r="AD968" s="2484"/>
      <c r="AE968" s="2484"/>
      <c r="AF968" s="2484"/>
      <c r="AG968" s="2484"/>
      <c r="AH968" s="2484"/>
      <c r="AI968" s="2485"/>
      <c r="AJ968" s="2483" t="s">
        <v>675</v>
      </c>
      <c r="AK968" s="2484"/>
      <c r="AL968" s="2484"/>
      <c r="AM968" s="2484"/>
      <c r="AN968" s="2484"/>
      <c r="AO968" s="2484"/>
      <c r="AP968" s="2484"/>
      <c r="AQ968" s="2485"/>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363" t="s">
        <v>667</v>
      </c>
      <c r="E969" s="2364"/>
      <c r="F969" s="2364"/>
      <c r="G969" s="2364"/>
      <c r="H969" s="2364"/>
      <c r="I969" s="2364"/>
      <c r="J969" s="2364"/>
      <c r="K969" s="2364"/>
      <c r="L969" s="2364"/>
      <c r="M969" s="2364"/>
      <c r="N969" s="2364"/>
      <c r="O969" s="2364"/>
      <c r="P969" s="2364"/>
      <c r="Q969" s="2365"/>
      <c r="R969" s="2482">
        <f>IF(ISNA(IF($BN$799="4%",(INDEX($BP$809:$BT$866,MATCH($CB$799,$BO$809:$BO$866,0),MATCH(D969,$BP$808:$BT$808,0))),(INDEX($BW$809:$CA$866,MATCH($CB$799,$BV$809:$BV$866,0),MATCH(D969,$BW$808:$CA$808,0))))),0,IF($BN$799="4%",(INDEX($BP$809:$BT$866,MATCH($CB$799,$BO$809:$BO$866,0),MATCH(D969,$BP$808:$BT$808,0))),(INDEX($BW$809:$CA$866,MATCH($CB$799,$BV$809:$BV$866,0),MATCH(D969,$BW$808:$CA$808,0)))))</f>
        <v>228930</v>
      </c>
      <c r="S969" s="2482"/>
      <c r="T969" s="2482"/>
      <c r="U969" s="2482"/>
      <c r="V969" s="2482"/>
      <c r="W969" s="2482"/>
      <c r="X969" s="2482"/>
      <c r="Y969" s="2482"/>
      <c r="Z969" s="2482"/>
      <c r="AA969" s="2482"/>
      <c r="AB969" s="2486">
        <f>BN663</f>
        <v>0</v>
      </c>
      <c r="AC969" s="2487"/>
      <c r="AD969" s="2487"/>
      <c r="AE969" s="2487"/>
      <c r="AF969" s="2487"/>
      <c r="AG969" s="2487"/>
      <c r="AH969" s="2487"/>
      <c r="AI969" s="2488"/>
      <c r="AJ969" s="2383">
        <f>IF(ISERROR((R969*AB969)),0,(R969*AB969))</f>
        <v>0</v>
      </c>
      <c r="AK969" s="2384"/>
      <c r="AL969" s="2384"/>
      <c r="AM969" s="2384"/>
      <c r="AN969" s="2384"/>
      <c r="AO969" s="2384"/>
      <c r="AP969" s="2384"/>
      <c r="AQ969" s="2385"/>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363" t="s">
        <v>333</v>
      </c>
      <c r="E970" s="2364"/>
      <c r="F970" s="2364"/>
      <c r="G970" s="2364"/>
      <c r="H970" s="2364"/>
      <c r="I970" s="2364"/>
      <c r="J970" s="2364"/>
      <c r="K970" s="2364"/>
      <c r="L970" s="2364"/>
      <c r="M970" s="2364"/>
      <c r="N970" s="2364"/>
      <c r="O970" s="2364"/>
      <c r="P970" s="2364"/>
      <c r="Q970" s="2365"/>
      <c r="R970" s="2482">
        <f>IF(ISNA(IF($BN$799="4%",(INDEX($BP$809:$BT$866,MATCH($CB$799,$BO$809:$BO$866,0),MATCH(D970,$BP$808:$BT$808,0))),(INDEX($BW$809:$CA$866,MATCH($CB$799,$BV$809:$BV$866,0),MATCH(D970,$BW$808:$CA$808,0))))),0,IF($BN$799="4%",(INDEX($BP$809:$BT$866,MATCH($CB$799,$BO$809:$BO$866,0),MATCH(D970,$BP$808:$BT$808,0))),(INDEX($BW$809:$CA$866,MATCH($CB$799,$BV$809:$BV$866,0),MATCH(D970,$BW$808:$CA$808,0)))))</f>
        <v>263954</v>
      </c>
      <c r="S970" s="2482"/>
      <c r="T970" s="2482"/>
      <c r="U970" s="2482"/>
      <c r="V970" s="2482"/>
      <c r="W970" s="2482"/>
      <c r="X970" s="2482"/>
      <c r="Y970" s="2482"/>
      <c r="Z970" s="2482"/>
      <c r="AA970" s="2482"/>
      <c r="AB970" s="2486">
        <f>BS663</f>
        <v>15</v>
      </c>
      <c r="AC970" s="2487"/>
      <c r="AD970" s="2487"/>
      <c r="AE970" s="2487"/>
      <c r="AF970" s="2487"/>
      <c r="AG970" s="2487"/>
      <c r="AH970" s="2487"/>
      <c r="AI970" s="2488"/>
      <c r="AJ970" s="2383">
        <f>IF(ISERROR((R970*AB970)),0,(R970*AB970))</f>
        <v>3959310</v>
      </c>
      <c r="AK970" s="2384"/>
      <c r="AL970" s="2384"/>
      <c r="AM970" s="2384"/>
      <c r="AN970" s="2384"/>
      <c r="AO970" s="2384"/>
      <c r="AP970" s="2384"/>
      <c r="AQ970" s="2385"/>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63" t="s">
        <v>168</v>
      </c>
      <c r="E971" s="2364"/>
      <c r="F971" s="2364"/>
      <c r="G971" s="2364"/>
      <c r="H971" s="2364"/>
      <c r="I971" s="2364"/>
      <c r="J971" s="2364"/>
      <c r="K971" s="2364"/>
      <c r="L971" s="2364"/>
      <c r="M971" s="2364"/>
      <c r="N971" s="2364"/>
      <c r="O971" s="2364"/>
      <c r="P971" s="2364"/>
      <c r="Q971" s="2365"/>
      <c r="R971" s="2482">
        <f>IF(ISNA(IF($BN$799="4%",(INDEX($BP$809:$BT$866,MATCH($CB$799,$BO$809:$BO$866,0),MATCH(D971,$BP$808:$BT$808,0))),(INDEX($BW$809:$CA$866,MATCH($CB$799,$BV$809:$BV$866,0),MATCH(D971,$BW$808:$CA$808,0))))),0,IF($BN$799="4%",(INDEX($BP$809:$BT$866,MATCH($CB$799,$BO$809:$BO$866,0),MATCH(D971,$BP$808:$BT$808,0))),(INDEX($BW$809:$CA$866,MATCH($CB$799,$BV$809:$BV$866,0),MATCH(D971,$BW$808:$CA$808,0)))))</f>
        <v>318400</v>
      </c>
      <c r="S971" s="2482"/>
      <c r="T971" s="2482"/>
      <c r="U971" s="2482"/>
      <c r="V971" s="2482"/>
      <c r="W971" s="2482"/>
      <c r="X971" s="2482"/>
      <c r="Y971" s="2482"/>
      <c r="Z971" s="2482"/>
      <c r="AA971" s="2482"/>
      <c r="AB971" s="2486">
        <f>BX663</f>
        <v>20</v>
      </c>
      <c r="AC971" s="2487"/>
      <c r="AD971" s="2487"/>
      <c r="AE971" s="2487"/>
      <c r="AF971" s="2487"/>
      <c r="AG971" s="2487"/>
      <c r="AH971" s="2487"/>
      <c r="AI971" s="2488"/>
      <c r="AJ971" s="2383">
        <f>IF(ISERROR((R971*AB971)),0,(R971*AB971))</f>
        <v>6368000</v>
      </c>
      <c r="AK971" s="2384"/>
      <c r="AL971" s="2384"/>
      <c r="AM971" s="2384"/>
      <c r="AN971" s="2384"/>
      <c r="AO971" s="2384"/>
      <c r="AP971" s="2384"/>
      <c r="AQ971" s="2385"/>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363" t="s">
        <v>169</v>
      </c>
      <c r="E972" s="2364"/>
      <c r="F972" s="2364"/>
      <c r="G972" s="2364"/>
      <c r="H972" s="2364"/>
      <c r="I972" s="2364"/>
      <c r="J972" s="2364"/>
      <c r="K972" s="2364"/>
      <c r="L972" s="2364"/>
      <c r="M972" s="2364"/>
      <c r="N972" s="2364"/>
      <c r="O972" s="2364"/>
      <c r="P972" s="2364"/>
      <c r="Q972" s="2365"/>
      <c r="R972" s="2482">
        <f>IF(ISNA(IF($BN$799="4%",(INDEX($BP$809:$BT$866,MATCH($CB$799,$BO$809:$BO$866,0),MATCH(D972,$BP$808:$BT$808,0))),(INDEX($BW$809:$CA$866,MATCH($CB$799,$BV$809:$BV$866,0),MATCH(D972,$BW$808:$CA$808,0))))),0,IF($BN$799="4%",(INDEX($BP$809:$BT$866,MATCH($CB$799,$BO$809:$BO$866,0),MATCH(D972,$BP$808:$BT$808,0))),(INDEX($BW$809:$CA$866,MATCH($CB$799,$BV$809:$BV$866,0),MATCH(D972,$BW$808:$CA$808,0)))))</f>
        <v>407552</v>
      </c>
      <c r="S972" s="2482"/>
      <c r="T972" s="2482"/>
      <c r="U972" s="2482"/>
      <c r="V972" s="2482"/>
      <c r="W972" s="2482"/>
      <c r="X972" s="2482"/>
      <c r="Y972" s="2482"/>
      <c r="Z972" s="2482"/>
      <c r="AA972" s="2482"/>
      <c r="AB972" s="2486">
        <f>CC663</f>
        <v>30</v>
      </c>
      <c r="AC972" s="2487"/>
      <c r="AD972" s="2487"/>
      <c r="AE972" s="2487"/>
      <c r="AF972" s="2487"/>
      <c r="AG972" s="2487"/>
      <c r="AH972" s="2487"/>
      <c r="AI972" s="2488"/>
      <c r="AJ972" s="2383">
        <f>IF(ISERROR((R972*AB972)),0,(R972*AB972))</f>
        <v>12226560</v>
      </c>
      <c r="AK972" s="2384"/>
      <c r="AL972" s="2384"/>
      <c r="AM972" s="2384"/>
      <c r="AN972" s="2384"/>
      <c r="AO972" s="2384"/>
      <c r="AP972" s="2384"/>
      <c r="AQ972" s="2385"/>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63" t="s">
        <v>492</v>
      </c>
      <c r="E973" s="2364"/>
      <c r="F973" s="2364"/>
      <c r="G973" s="2364"/>
      <c r="H973" s="2364"/>
      <c r="I973" s="2364"/>
      <c r="J973" s="2364"/>
      <c r="K973" s="2364"/>
      <c r="L973" s="2364"/>
      <c r="M973" s="2364"/>
      <c r="N973" s="2364"/>
      <c r="O973" s="2364"/>
      <c r="P973" s="2364"/>
      <c r="Q973" s="2365"/>
      <c r="R973" s="2482">
        <f>IF(ISNA(IF($BN$799="4%",(INDEX($BP$809:$BT$866,MATCH($CB$799,$BO$809:$BO$866,0),MATCH(D973,$BP$808:$BT$808,0))),(INDEX($BW$809:$CA$866,MATCH($CB$799,$BV$809:$BV$866,0),MATCH(D973,$BW$808:$CA$808,0))))),0,IF($BN$799="4%",(INDEX($BP$809:$BT$866,MATCH($CB$799,$BO$809:$BO$866,0),MATCH(D973,$BP$808:$BT$808,0))),(INDEX($BW$809:$CA$866,MATCH($CB$799,$BV$809:$BV$866,0),MATCH(D973,$BW$808:$CA$808,0)))))</f>
        <v>454038</v>
      </c>
      <c r="S973" s="2482"/>
      <c r="T973" s="2482"/>
      <c r="U973" s="2482"/>
      <c r="V973" s="2482"/>
      <c r="W973" s="2482"/>
      <c r="X973" s="2482"/>
      <c r="Y973" s="2482"/>
      <c r="Z973" s="2482"/>
      <c r="AA973" s="2482"/>
      <c r="AB973" s="2486">
        <f>CM663+CH663</f>
        <v>0</v>
      </c>
      <c r="AC973" s="2487"/>
      <c r="AD973" s="2487"/>
      <c r="AE973" s="2487"/>
      <c r="AF973" s="2487"/>
      <c r="AG973" s="2487"/>
      <c r="AH973" s="2487"/>
      <c r="AI973" s="2488"/>
      <c r="AJ973" s="2383">
        <f>IF(ISERROR((R973*AB973)),0,(R973*AB973))</f>
        <v>0</v>
      </c>
      <c r="AK973" s="2384"/>
      <c r="AL973" s="2384"/>
      <c r="AM973" s="2384"/>
      <c r="AN973" s="2384"/>
      <c r="AO973" s="2384"/>
      <c r="AP973" s="2384"/>
      <c r="AQ973" s="2385"/>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12" t="s">
        <v>848</v>
      </c>
      <c r="C974" s="2513"/>
      <c r="D974" s="2513"/>
      <c r="E974" s="2513"/>
      <c r="F974" s="2513"/>
      <c r="G974" s="2513"/>
      <c r="H974" s="2513"/>
      <c r="I974" s="2513"/>
      <c r="J974" s="2513"/>
      <c r="K974" s="2513"/>
      <c r="L974" s="2513"/>
      <c r="M974" s="2513"/>
      <c r="N974" s="2513"/>
      <c r="O974" s="2513"/>
      <c r="P974" s="2513"/>
      <c r="Q974" s="2513"/>
      <c r="R974" s="2513"/>
      <c r="S974" s="2513"/>
      <c r="T974" s="2513"/>
      <c r="U974" s="2513"/>
      <c r="V974" s="2513"/>
      <c r="W974" s="2513"/>
      <c r="X974" s="2513"/>
      <c r="Y974" s="2513"/>
      <c r="Z974" s="2513"/>
      <c r="AA974" s="2514"/>
      <c r="AB974" s="2486">
        <f>SUM(AB969:AI973)</f>
        <v>65</v>
      </c>
      <c r="AC974" s="2487"/>
      <c r="AD974" s="2487"/>
      <c r="AE974" s="2487"/>
      <c r="AF974" s="2487"/>
      <c r="AG974" s="2487"/>
      <c r="AH974" s="2487"/>
      <c r="AI974" s="2488"/>
      <c r="AJ974" s="2383"/>
      <c r="AK974" s="2384"/>
      <c r="AL974" s="2384"/>
      <c r="AM974" s="2384"/>
      <c r="AN974" s="2384"/>
      <c r="AO974" s="2384"/>
      <c r="AP974" s="2384"/>
      <c r="AQ974" s="2385"/>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6" customHeight="1">
      <c r="A975" s="51"/>
      <c r="B975" s="2545" t="s">
        <v>544</v>
      </c>
      <c r="C975" s="2546"/>
      <c r="D975" s="2546"/>
      <c r="E975" s="2546"/>
      <c r="F975" s="2546"/>
      <c r="G975" s="2546"/>
      <c r="H975" s="2546"/>
      <c r="I975" s="2546"/>
      <c r="J975" s="2546"/>
      <c r="K975" s="2546"/>
      <c r="L975" s="2546"/>
      <c r="M975" s="2546"/>
      <c r="N975" s="2546"/>
      <c r="O975" s="2546"/>
      <c r="P975" s="2546"/>
      <c r="Q975" s="2546"/>
      <c r="R975" s="2546"/>
      <c r="S975" s="2546"/>
      <c r="T975" s="2546"/>
      <c r="U975" s="2546"/>
      <c r="V975" s="2546"/>
      <c r="W975" s="2546"/>
      <c r="X975" s="2546"/>
      <c r="Y975" s="2546"/>
      <c r="Z975" s="2546"/>
      <c r="AA975" s="2546"/>
      <c r="AB975" s="2546"/>
      <c r="AC975" s="2546"/>
      <c r="AD975" s="2546"/>
      <c r="AE975" s="2546"/>
      <c r="AF975" s="2546"/>
      <c r="AG975" s="2546"/>
      <c r="AH975" s="2546"/>
      <c r="AI975" s="2547"/>
      <c r="AJ975" s="2383">
        <f>SUM(AJ969:AQ973)</f>
        <v>22553870</v>
      </c>
      <c r="AK975" s="2384"/>
      <c r="AL975" s="2384"/>
      <c r="AM975" s="2384"/>
      <c r="AN975" s="2384"/>
      <c r="AO975" s="2384"/>
      <c r="AP975" s="2384"/>
      <c r="AQ975" s="2385"/>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75"/>
      <c r="C976" s="2476"/>
      <c r="D976" s="2476"/>
      <c r="E976" s="2476"/>
      <c r="F976" s="2476"/>
      <c r="G976" s="2476"/>
      <c r="H976" s="2476"/>
      <c r="I976" s="2476"/>
      <c r="J976" s="2476"/>
      <c r="K976" s="2476"/>
      <c r="L976" s="2476"/>
      <c r="M976" s="2476"/>
      <c r="N976" s="2476"/>
      <c r="O976" s="2476"/>
      <c r="P976" s="2476"/>
      <c r="Q976" s="2476"/>
      <c r="R976" s="2476"/>
      <c r="S976" s="2476"/>
      <c r="T976" s="2476"/>
      <c r="U976" s="2476"/>
      <c r="V976" s="2476"/>
      <c r="W976" s="2476"/>
      <c r="X976" s="2476"/>
      <c r="Y976" s="2476"/>
      <c r="Z976" s="2476"/>
      <c r="AA976" s="2476"/>
      <c r="AB976" s="2476"/>
      <c r="AC976" s="2476"/>
      <c r="AD976" s="2476"/>
      <c r="AE976" s="2477"/>
      <c r="AF976" s="2548" t="s">
        <v>702</v>
      </c>
      <c r="AG976" s="2549"/>
      <c r="AH976" s="2549"/>
      <c r="AI976" s="2550"/>
      <c r="AJ976" s="2475"/>
      <c r="AK976" s="2476"/>
      <c r="AL976" s="2476"/>
      <c r="AM976" s="2476"/>
      <c r="AN976" s="2476"/>
      <c r="AO976" s="2476"/>
      <c r="AP976" s="2476"/>
      <c r="AQ976" s="2477"/>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478" t="s">
        <v>1429</v>
      </c>
      <c r="E977" s="2479"/>
      <c r="F977" s="2479"/>
      <c r="G977" s="2479"/>
      <c r="H977" s="2479"/>
      <c r="I977" s="2479"/>
      <c r="J977" s="2479"/>
      <c r="K977" s="2479"/>
      <c r="L977" s="2479"/>
      <c r="M977" s="2479"/>
      <c r="N977" s="2479"/>
      <c r="O977" s="2479"/>
      <c r="P977" s="2479"/>
      <c r="Q977" s="2479"/>
      <c r="R977" s="2479"/>
      <c r="S977" s="2479"/>
      <c r="T977" s="2479"/>
      <c r="U977" s="2479"/>
      <c r="V977" s="2479"/>
      <c r="W977" s="2479"/>
      <c r="X977" s="2479"/>
      <c r="Y977" s="2479"/>
      <c r="Z977" s="2479"/>
      <c r="AA977" s="2479"/>
      <c r="AB977" s="2479"/>
      <c r="AC977" s="2479"/>
      <c r="AD977" s="2479"/>
      <c r="AE977" s="2480"/>
      <c r="AF977" s="117"/>
      <c r="AG977" s="2551" t="s">
        <v>577</v>
      </c>
      <c r="AH977" s="2552"/>
      <c r="AI977" s="125"/>
      <c r="AJ977" s="2467">
        <f>ROUND(IF(AND(AG977="yes",D979&gt;0),AJ975*0.2,0),0)</f>
        <v>0</v>
      </c>
      <c r="AK977" s="2468"/>
      <c r="AL977" s="2468"/>
      <c r="AM977" s="2468"/>
      <c r="AN977" s="2468"/>
      <c r="AO977" s="2468"/>
      <c r="AP977" s="2468"/>
      <c r="AQ977" s="2469"/>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515" t="s">
        <v>1430</v>
      </c>
      <c r="E978" s="2516"/>
      <c r="F978" s="2516"/>
      <c r="G978" s="2516"/>
      <c r="H978" s="2516"/>
      <c r="I978" s="2516"/>
      <c r="J978" s="2516"/>
      <c r="K978" s="2516"/>
      <c r="L978" s="2516"/>
      <c r="M978" s="2516"/>
      <c r="N978" s="2516"/>
      <c r="O978" s="2516"/>
      <c r="P978" s="2516"/>
      <c r="Q978" s="2516"/>
      <c r="R978" s="2516"/>
      <c r="S978" s="2516"/>
      <c r="T978" s="2516"/>
      <c r="U978" s="2516"/>
      <c r="V978" s="2516"/>
      <c r="W978" s="2516"/>
      <c r="X978" s="2516"/>
      <c r="Y978" s="2516"/>
      <c r="Z978" s="2516"/>
      <c r="AA978" s="2516"/>
      <c r="AB978" s="2516"/>
      <c r="AC978" s="2516"/>
      <c r="AD978" s="2516"/>
      <c r="AE978" s="2517"/>
      <c r="AF978" s="110"/>
      <c r="AG978" s="112"/>
      <c r="AH978" s="112"/>
      <c r="AI978" s="121"/>
      <c r="AJ978" s="2470"/>
      <c r="AK978" s="2154"/>
      <c r="AL978" s="2154"/>
      <c r="AM978" s="2154"/>
      <c r="AN978" s="2154"/>
      <c r="AO978" s="2154"/>
      <c r="AP978" s="2154"/>
      <c r="AQ978" s="2471"/>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6" customHeight="1">
      <c r="A979" s="51"/>
      <c r="B979" s="411"/>
      <c r="C979" s="410"/>
      <c r="D979" s="2518"/>
      <c r="E979" s="2519"/>
      <c r="F979" s="2519"/>
      <c r="G979" s="2519"/>
      <c r="H979" s="2519"/>
      <c r="I979" s="2519"/>
      <c r="J979" s="2519"/>
      <c r="K979" s="2519"/>
      <c r="L979" s="2519"/>
      <c r="M979" s="2519"/>
      <c r="N979" s="2519"/>
      <c r="O979" s="2519"/>
      <c r="P979" s="2519"/>
      <c r="Q979" s="2519"/>
      <c r="R979" s="2519"/>
      <c r="S979" s="2519"/>
      <c r="T979" s="2519"/>
      <c r="U979" s="2519"/>
      <c r="V979" s="2519"/>
      <c r="W979" s="2519"/>
      <c r="X979" s="2519"/>
      <c r="Y979" s="2519"/>
      <c r="Z979" s="2519"/>
      <c r="AA979" s="2519"/>
      <c r="AB979" s="2519"/>
      <c r="AC979" s="2519"/>
      <c r="AD979" s="2519"/>
      <c r="AE979" s="2520"/>
      <c r="AF979" s="115"/>
      <c r="AG979" s="11"/>
      <c r="AH979" s="11"/>
      <c r="AI979" s="116"/>
      <c r="AJ979" s="2472"/>
      <c r="AK979" s="2473"/>
      <c r="AL979" s="2473"/>
      <c r="AM979" s="2473"/>
      <c r="AN979" s="2473"/>
      <c r="AO979" s="2473"/>
      <c r="AP979" s="2473"/>
      <c r="AQ979" s="2474"/>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430" t="s">
        <v>1528</v>
      </c>
      <c r="E980" s="2431"/>
      <c r="F980" s="2431"/>
      <c r="G980" s="2431"/>
      <c r="H980" s="2431"/>
      <c r="I980" s="2431"/>
      <c r="J980" s="2431"/>
      <c r="K980" s="2431"/>
      <c r="L980" s="2431"/>
      <c r="M980" s="2431"/>
      <c r="N980" s="2431"/>
      <c r="O980" s="2431"/>
      <c r="P980" s="2431"/>
      <c r="Q980" s="2431"/>
      <c r="R980" s="2431"/>
      <c r="S980" s="2431"/>
      <c r="T980" s="2431"/>
      <c r="U980" s="2431"/>
      <c r="V980" s="2431"/>
      <c r="W980" s="2431"/>
      <c r="X980" s="2431"/>
      <c r="Y980" s="2431"/>
      <c r="Z980" s="2431"/>
      <c r="AA980" s="2431"/>
      <c r="AB980" s="2431"/>
      <c r="AC980" s="2431"/>
      <c r="AD980" s="2431"/>
      <c r="AE980" s="2432"/>
      <c r="AF980" s="117"/>
      <c r="AG980" s="2442" t="s">
        <v>705</v>
      </c>
      <c r="AH980" s="2443"/>
      <c r="AI980" s="125"/>
      <c r="AJ980" s="2467">
        <f>ROUND(IF(AG980="yes",AJ975*0.05,0),0)</f>
        <v>0</v>
      </c>
      <c r="AK980" s="2468"/>
      <c r="AL980" s="2468"/>
      <c r="AM980" s="2468"/>
      <c r="AN980" s="2468"/>
      <c r="AO980" s="2468"/>
      <c r="AP980" s="2468"/>
      <c r="AQ980" s="2469"/>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6" customHeight="1">
      <c r="A981" s="51"/>
      <c r="B981" s="411"/>
      <c r="C981" s="120"/>
      <c r="D981" s="2515" t="s">
        <v>1526</v>
      </c>
      <c r="E981" s="2516"/>
      <c r="F981" s="2516"/>
      <c r="G981" s="2516"/>
      <c r="H981" s="2516"/>
      <c r="I981" s="2516"/>
      <c r="J981" s="2516"/>
      <c r="K981" s="2516"/>
      <c r="L981" s="2516"/>
      <c r="M981" s="2516"/>
      <c r="N981" s="2516"/>
      <c r="O981" s="2516"/>
      <c r="P981" s="2516"/>
      <c r="Q981" s="2516"/>
      <c r="R981" s="2516"/>
      <c r="S981" s="2516"/>
      <c r="T981" s="2516"/>
      <c r="U981" s="2516"/>
      <c r="V981" s="2516"/>
      <c r="W981" s="2516"/>
      <c r="X981" s="2516"/>
      <c r="Y981" s="2516"/>
      <c r="Z981" s="2516"/>
      <c r="AA981" s="2516"/>
      <c r="AB981" s="2516"/>
      <c r="AC981" s="2516"/>
      <c r="AD981" s="2516"/>
      <c r="AE981" s="2517"/>
      <c r="AF981" s="110"/>
      <c r="AG981" s="112"/>
      <c r="AH981" s="112"/>
      <c r="AI981" s="121"/>
      <c r="AJ981" s="2470"/>
      <c r="AK981" s="2154"/>
      <c r="AL981" s="2154"/>
      <c r="AM981" s="2154"/>
      <c r="AN981" s="2154"/>
      <c r="AO981" s="2154"/>
      <c r="AP981" s="2154"/>
      <c r="AQ981" s="2471"/>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515"/>
      <c r="E982" s="2516"/>
      <c r="F982" s="2516"/>
      <c r="G982" s="2516"/>
      <c r="H982" s="2516"/>
      <c r="I982" s="2516"/>
      <c r="J982" s="2516"/>
      <c r="K982" s="2516"/>
      <c r="L982" s="2516"/>
      <c r="M982" s="2516"/>
      <c r="N982" s="2516"/>
      <c r="O982" s="2516"/>
      <c r="P982" s="2516"/>
      <c r="Q982" s="2516"/>
      <c r="R982" s="2516"/>
      <c r="S982" s="2516"/>
      <c r="T982" s="2516"/>
      <c r="U982" s="2516"/>
      <c r="V982" s="2516"/>
      <c r="W982" s="2516"/>
      <c r="X982" s="2516"/>
      <c r="Y982" s="2516"/>
      <c r="Z982" s="2516"/>
      <c r="AA982" s="2516"/>
      <c r="AB982" s="2516"/>
      <c r="AC982" s="2516"/>
      <c r="AD982" s="2516"/>
      <c r="AE982" s="2517"/>
      <c r="AF982" s="110"/>
      <c r="AG982" s="112"/>
      <c r="AH982" s="112"/>
      <c r="AI982" s="121"/>
      <c r="AJ982" s="2470"/>
      <c r="AK982" s="2154"/>
      <c r="AL982" s="2154"/>
      <c r="AM982" s="2154"/>
      <c r="AN982" s="2154"/>
      <c r="AO982" s="2154"/>
      <c r="AP982" s="2154"/>
      <c r="AQ982" s="2471"/>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15"/>
      <c r="E983" s="2516"/>
      <c r="F983" s="2516"/>
      <c r="G983" s="2516"/>
      <c r="H983" s="2516"/>
      <c r="I983" s="2516"/>
      <c r="J983" s="2516"/>
      <c r="K983" s="2516"/>
      <c r="L983" s="2516"/>
      <c r="M983" s="2516"/>
      <c r="N983" s="2516"/>
      <c r="O983" s="2516"/>
      <c r="P983" s="2516"/>
      <c r="Q983" s="2516"/>
      <c r="R983" s="2516"/>
      <c r="S983" s="2516"/>
      <c r="T983" s="2516"/>
      <c r="U983" s="2516"/>
      <c r="V983" s="2516"/>
      <c r="W983" s="2516"/>
      <c r="X983" s="2516"/>
      <c r="Y983" s="2516"/>
      <c r="Z983" s="2516"/>
      <c r="AA983" s="2516"/>
      <c r="AB983" s="2516"/>
      <c r="AC983" s="2516"/>
      <c r="AD983" s="2516"/>
      <c r="AE983" s="2517"/>
      <c r="AF983" s="110"/>
      <c r="AG983" s="112"/>
      <c r="AH983" s="112"/>
      <c r="AI983" s="121"/>
      <c r="AJ983" s="2470"/>
      <c r="AK983" s="2154"/>
      <c r="AL983" s="2154"/>
      <c r="AM983" s="2154"/>
      <c r="AN983" s="2154"/>
      <c r="AO983" s="2154"/>
      <c r="AP983" s="2154"/>
      <c r="AQ983" s="2471"/>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15"/>
      <c r="E984" s="2516"/>
      <c r="F984" s="2516"/>
      <c r="G984" s="2516"/>
      <c r="H984" s="2516"/>
      <c r="I984" s="2516"/>
      <c r="J984" s="2516"/>
      <c r="K984" s="2516"/>
      <c r="L984" s="2516"/>
      <c r="M984" s="2516"/>
      <c r="N984" s="2516"/>
      <c r="O984" s="2516"/>
      <c r="P984" s="2516"/>
      <c r="Q984" s="2516"/>
      <c r="R984" s="2516"/>
      <c r="S984" s="2516"/>
      <c r="T984" s="2516"/>
      <c r="U984" s="2516"/>
      <c r="V984" s="2516"/>
      <c r="W984" s="2516"/>
      <c r="X984" s="2516"/>
      <c r="Y984" s="2516"/>
      <c r="Z984" s="2516"/>
      <c r="AA984" s="2516"/>
      <c r="AB984" s="2516"/>
      <c r="AC984" s="2516"/>
      <c r="AD984" s="2516"/>
      <c r="AE984" s="2517"/>
      <c r="AF984" s="110"/>
      <c r="AG984" s="112"/>
      <c r="AH984" s="112"/>
      <c r="AI984" s="121"/>
      <c r="AJ984" s="2470"/>
      <c r="AK984" s="2154"/>
      <c r="AL984" s="2154"/>
      <c r="AM984" s="2154"/>
      <c r="AN984" s="2154"/>
      <c r="AO984" s="2154"/>
      <c r="AP984" s="2154"/>
      <c r="AQ984" s="2471"/>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21"/>
      <c r="E985" s="2522"/>
      <c r="F985" s="2522"/>
      <c r="G985" s="2522"/>
      <c r="H985" s="2522"/>
      <c r="I985" s="2522"/>
      <c r="J985" s="2522"/>
      <c r="K985" s="2522"/>
      <c r="L985" s="2522"/>
      <c r="M985" s="2522"/>
      <c r="N985" s="2522"/>
      <c r="O985" s="2522"/>
      <c r="P985" s="2522"/>
      <c r="Q985" s="2522"/>
      <c r="R985" s="2522"/>
      <c r="S985" s="2522"/>
      <c r="T985" s="2522"/>
      <c r="U985" s="2522"/>
      <c r="V985" s="2522"/>
      <c r="W985" s="2522"/>
      <c r="X985" s="2522"/>
      <c r="Y985" s="2522"/>
      <c r="Z985" s="2522"/>
      <c r="AA985" s="2522"/>
      <c r="AB985" s="2522"/>
      <c r="AC985" s="2522"/>
      <c r="AD985" s="2522"/>
      <c r="AE985" s="2523"/>
      <c r="AF985" s="115"/>
      <c r="AG985" s="11"/>
      <c r="AH985" s="11"/>
      <c r="AI985" s="116"/>
      <c r="AJ985" s="2472"/>
      <c r="AK985" s="2473"/>
      <c r="AL985" s="2473"/>
      <c r="AM985" s="2473"/>
      <c r="AN985" s="2473"/>
      <c r="AO985" s="2473"/>
      <c r="AP985" s="2473"/>
      <c r="AQ985" s="2474"/>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708</v>
      </c>
      <c r="D986" s="2430" t="s">
        <v>2169</v>
      </c>
      <c r="E986" s="2431"/>
      <c r="F986" s="2431"/>
      <c r="G986" s="2431"/>
      <c r="H986" s="2431"/>
      <c r="I986" s="2431"/>
      <c r="J986" s="2431"/>
      <c r="K986" s="2431"/>
      <c r="L986" s="2431"/>
      <c r="M986" s="2431"/>
      <c r="N986" s="2431"/>
      <c r="O986" s="2431"/>
      <c r="P986" s="2431"/>
      <c r="Q986" s="2431"/>
      <c r="R986" s="2431"/>
      <c r="S986" s="2431"/>
      <c r="T986" s="2431"/>
      <c r="U986" s="2431"/>
      <c r="V986" s="2431"/>
      <c r="W986" s="2431"/>
      <c r="X986" s="2431"/>
      <c r="Y986" s="2431"/>
      <c r="Z986" s="2431"/>
      <c r="AA986" s="2431"/>
      <c r="AB986" s="2431"/>
      <c r="AC986" s="2431"/>
      <c r="AD986" s="2431"/>
      <c r="AE986" s="2432"/>
      <c r="AF986" s="124"/>
      <c r="AG986" s="2442" t="s">
        <v>705</v>
      </c>
      <c r="AH986" s="2443"/>
      <c r="AI986" s="125"/>
      <c r="AJ986" s="2467">
        <f>ROUND(IF(AG986="yes",AJ975*0.1,0),0)</f>
        <v>0</v>
      </c>
      <c r="AK986" s="2468"/>
      <c r="AL986" s="2468"/>
      <c r="AM986" s="2468"/>
      <c r="AN986" s="2468"/>
      <c r="AO986" s="2468"/>
      <c r="AP986" s="2468"/>
      <c r="AQ986" s="2469"/>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33" t="s">
        <v>1527</v>
      </c>
      <c r="E987" s="2434"/>
      <c r="F987" s="2434"/>
      <c r="G987" s="2434"/>
      <c r="H987" s="2434"/>
      <c r="I987" s="2434"/>
      <c r="J987" s="2434"/>
      <c r="K987" s="2434"/>
      <c r="L987" s="2434"/>
      <c r="M987" s="2434"/>
      <c r="N987" s="2434"/>
      <c r="O987" s="2434"/>
      <c r="P987" s="2434"/>
      <c r="Q987" s="2434"/>
      <c r="R987" s="2434"/>
      <c r="S987" s="2434"/>
      <c r="T987" s="2434"/>
      <c r="U987" s="2434"/>
      <c r="V987" s="2434"/>
      <c r="W987" s="2434"/>
      <c r="X987" s="2434"/>
      <c r="Y987" s="2434"/>
      <c r="Z987" s="2434"/>
      <c r="AA987" s="2434"/>
      <c r="AB987" s="2434"/>
      <c r="AC987" s="2434"/>
      <c r="AD987" s="2434"/>
      <c r="AE987" s="2435"/>
      <c r="AF987" s="110"/>
      <c r="AG987" s="25"/>
      <c r="AH987" s="25"/>
      <c r="AI987" s="121"/>
      <c r="AJ987" s="2470"/>
      <c r="AK987" s="2154"/>
      <c r="AL987" s="2154"/>
      <c r="AM987" s="2154"/>
      <c r="AN987" s="2154"/>
      <c r="AO987" s="2154"/>
      <c r="AP987" s="2154"/>
      <c r="AQ987" s="2471"/>
      <c r="AR987" s="1582"/>
      <c r="AS987" s="1582"/>
      <c r="AT987" s="1582"/>
      <c r="AU987" s="1582"/>
      <c r="AV987" s="1582"/>
      <c r="AW987" s="1582"/>
      <c r="AX987" s="1582"/>
      <c r="AY987" s="1582"/>
      <c r="AZ987" s="61"/>
      <c r="BA987" s="1611">
        <f>G753+O796</f>
        <v>64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33"/>
      <c r="E988" s="2434"/>
      <c r="F988" s="2434"/>
      <c r="G988" s="2434"/>
      <c r="H988" s="2434"/>
      <c r="I988" s="2434"/>
      <c r="J988" s="2434"/>
      <c r="K988" s="2434"/>
      <c r="L988" s="2434"/>
      <c r="M988" s="2434"/>
      <c r="N988" s="2434"/>
      <c r="O988" s="2434"/>
      <c r="P988" s="2434"/>
      <c r="Q988" s="2434"/>
      <c r="R988" s="2434"/>
      <c r="S988" s="2434"/>
      <c r="T988" s="2434"/>
      <c r="U988" s="2434"/>
      <c r="V988" s="2434"/>
      <c r="W988" s="2434"/>
      <c r="X988" s="2434"/>
      <c r="Y988" s="2434"/>
      <c r="Z988" s="2434"/>
      <c r="AA988" s="2434"/>
      <c r="AB988" s="2434"/>
      <c r="AC988" s="2434"/>
      <c r="AD988" s="2434"/>
      <c r="AE988" s="2435"/>
      <c r="AF988" s="110"/>
      <c r="AG988" s="112"/>
      <c r="AH988" s="112"/>
      <c r="AI988" s="121"/>
      <c r="AJ988" s="2470"/>
      <c r="AK988" s="2154"/>
      <c r="AL988" s="2154"/>
      <c r="AM988" s="2154"/>
      <c r="AN988" s="2154"/>
      <c r="AO988" s="2154"/>
      <c r="AP988" s="2154"/>
      <c r="AQ988" s="2471"/>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46"/>
      <c r="E989" s="2447"/>
      <c r="F989" s="2447"/>
      <c r="G989" s="2447"/>
      <c r="H989" s="2447"/>
      <c r="I989" s="2447"/>
      <c r="J989" s="2447"/>
      <c r="K989" s="2447"/>
      <c r="L989" s="2447"/>
      <c r="M989" s="2447"/>
      <c r="N989" s="2447"/>
      <c r="O989" s="2447"/>
      <c r="P989" s="2447"/>
      <c r="Q989" s="2447"/>
      <c r="R989" s="2447"/>
      <c r="S989" s="2447"/>
      <c r="T989" s="2447"/>
      <c r="U989" s="2447"/>
      <c r="V989" s="2447"/>
      <c r="W989" s="2447"/>
      <c r="X989" s="2447"/>
      <c r="Y989" s="2447"/>
      <c r="Z989" s="2447"/>
      <c r="AA989" s="2447"/>
      <c r="AB989" s="2447"/>
      <c r="AC989" s="2447"/>
      <c r="AD989" s="2447"/>
      <c r="AE989" s="2448"/>
      <c r="AF989" s="115"/>
      <c r="AG989" s="11"/>
      <c r="AH989" s="11"/>
      <c r="AI989" s="116"/>
      <c r="AJ989" s="2472"/>
      <c r="AK989" s="2473"/>
      <c r="AL989" s="2473"/>
      <c r="AM989" s="2473"/>
      <c r="AN989" s="2473"/>
      <c r="AO989" s="2473"/>
      <c r="AP989" s="2473"/>
      <c r="AQ989" s="2474"/>
      <c r="AR989" s="1582"/>
      <c r="AS989" s="1582"/>
      <c r="AT989" s="1582"/>
      <c r="AU989" s="1582"/>
      <c r="AV989" s="1582"/>
      <c r="AW989" s="1582"/>
      <c r="AX989" s="1582"/>
      <c r="AY989" s="1582"/>
      <c r="AZ989" s="61"/>
      <c r="BA989" s="1610">
        <f>ROUNDDOWN(X1027/I1027,2)</f>
        <v>0.59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30" t="s">
        <v>1529</v>
      </c>
      <c r="E990" s="2431"/>
      <c r="F990" s="2431"/>
      <c r="G990" s="2431"/>
      <c r="H990" s="2431"/>
      <c r="I990" s="2431"/>
      <c r="J990" s="2431"/>
      <c r="K990" s="2431"/>
      <c r="L990" s="2431"/>
      <c r="M990" s="2431"/>
      <c r="N990" s="2431"/>
      <c r="O990" s="2431"/>
      <c r="P990" s="2431"/>
      <c r="Q990" s="2431"/>
      <c r="R990" s="2431"/>
      <c r="S990" s="2431"/>
      <c r="T990" s="2431"/>
      <c r="U990" s="2431"/>
      <c r="V990" s="2431"/>
      <c r="W990" s="2431"/>
      <c r="X990" s="2431"/>
      <c r="Y990" s="2431"/>
      <c r="Z990" s="2431"/>
      <c r="AA990" s="2431"/>
      <c r="AB990" s="2431"/>
      <c r="AC990" s="2431"/>
      <c r="AD990" s="2431"/>
      <c r="AE990" s="2432"/>
      <c r="AF990" s="117"/>
      <c r="AG990" s="2442" t="s">
        <v>705</v>
      </c>
      <c r="AH990" s="2443"/>
      <c r="AI990" s="125"/>
      <c r="AJ990" s="2467">
        <f>ROUND(IF(AG990="yes",AJ975*0.02,0),0)</f>
        <v>0</v>
      </c>
      <c r="AK990" s="2468"/>
      <c r="AL990" s="2468"/>
      <c r="AM990" s="2468"/>
      <c r="AN990" s="2468"/>
      <c r="AO990" s="2468"/>
      <c r="AP990" s="2468"/>
      <c r="AQ990" s="2469"/>
      <c r="AR990" s="1582"/>
      <c r="AS990" s="1582"/>
      <c r="AT990" s="1582"/>
      <c r="AU990" s="1582"/>
      <c r="AV990" s="1582"/>
      <c r="AW990" s="1582"/>
      <c r="AX990" s="1582"/>
      <c r="AY990" s="1582"/>
      <c r="AZ990" s="61"/>
      <c r="BA990" s="1610">
        <f>ROUNDDOWN(X1031/I1031,2)</f>
        <v>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6" t="s">
        <v>1530</v>
      </c>
      <c r="E991" s="2447"/>
      <c r="F991" s="2447"/>
      <c r="G991" s="2447"/>
      <c r="H991" s="2447"/>
      <c r="I991" s="2447"/>
      <c r="J991" s="2447"/>
      <c r="K991" s="2447"/>
      <c r="L991" s="2447"/>
      <c r="M991" s="2447"/>
      <c r="N991" s="2447"/>
      <c r="O991" s="2447"/>
      <c r="P991" s="2447"/>
      <c r="Q991" s="2447"/>
      <c r="R991" s="2447"/>
      <c r="S991" s="2447"/>
      <c r="T991" s="2447"/>
      <c r="U991" s="2447"/>
      <c r="V991" s="2447"/>
      <c r="W991" s="2447"/>
      <c r="X991" s="2447"/>
      <c r="Y991" s="2447"/>
      <c r="Z991" s="2447"/>
      <c r="AA991" s="2447"/>
      <c r="AB991" s="2447"/>
      <c r="AC991" s="2447"/>
      <c r="AD991" s="2447"/>
      <c r="AE991" s="2448"/>
      <c r="AF991" s="115"/>
      <c r="AG991" s="11"/>
      <c r="AH991" s="11"/>
      <c r="AI991" s="116"/>
      <c r="AJ991" s="2472"/>
      <c r="AK991" s="2473"/>
      <c r="AL991" s="2473"/>
      <c r="AM991" s="2473"/>
      <c r="AN991" s="2473"/>
      <c r="AO991" s="2473"/>
      <c r="AP991" s="2473"/>
      <c r="AQ991" s="2474"/>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220</v>
      </c>
      <c r="D992" s="2430" t="s">
        <v>1531</v>
      </c>
      <c r="E992" s="2431"/>
      <c r="F992" s="2431"/>
      <c r="G992" s="2431"/>
      <c r="H992" s="2431"/>
      <c r="I992" s="2431"/>
      <c r="J992" s="2431"/>
      <c r="K992" s="2431"/>
      <c r="L992" s="2431"/>
      <c r="M992" s="2431"/>
      <c r="N992" s="2431"/>
      <c r="O992" s="2431"/>
      <c r="P992" s="2431"/>
      <c r="Q992" s="2431"/>
      <c r="R992" s="2431"/>
      <c r="S992" s="2431"/>
      <c r="T992" s="2431"/>
      <c r="U992" s="2431"/>
      <c r="V992" s="2431"/>
      <c r="W992" s="2431"/>
      <c r="X992" s="2431"/>
      <c r="Y992" s="2431"/>
      <c r="Z992" s="2431"/>
      <c r="AA992" s="2431"/>
      <c r="AB992" s="2431"/>
      <c r="AC992" s="2431"/>
      <c r="AD992" s="2431"/>
      <c r="AE992" s="2432"/>
      <c r="AF992" s="117"/>
      <c r="AG992" s="2442" t="s">
        <v>705</v>
      </c>
      <c r="AH992" s="2443"/>
      <c r="AI992" s="117"/>
      <c r="AJ992" s="2467">
        <f>ROUND(IF(AG992="yes",AJ975*0.02,0),0)</f>
        <v>0</v>
      </c>
      <c r="AK992" s="2468"/>
      <c r="AL992" s="2468"/>
      <c r="AM992" s="2468"/>
      <c r="AN992" s="2468"/>
      <c r="AO992" s="2468"/>
      <c r="AP992" s="2468"/>
      <c r="AQ992" s="2469"/>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433" t="s">
        <v>1532</v>
      </c>
      <c r="E993" s="2434"/>
      <c r="F993" s="2434"/>
      <c r="G993" s="2434"/>
      <c r="H993" s="2434"/>
      <c r="I993" s="2434"/>
      <c r="J993" s="2434"/>
      <c r="K993" s="2434"/>
      <c r="L993" s="2434"/>
      <c r="M993" s="2434"/>
      <c r="N993" s="2434"/>
      <c r="O993" s="2434"/>
      <c r="P993" s="2434"/>
      <c r="Q993" s="2434"/>
      <c r="R993" s="2434"/>
      <c r="S993" s="2434"/>
      <c r="T993" s="2434"/>
      <c r="U993" s="2434"/>
      <c r="V993" s="2434"/>
      <c r="W993" s="2434"/>
      <c r="X993" s="2434"/>
      <c r="Y993" s="2434"/>
      <c r="Z993" s="2434"/>
      <c r="AA993" s="2434"/>
      <c r="AB993" s="2434"/>
      <c r="AC993" s="2434"/>
      <c r="AD993" s="2434"/>
      <c r="AE993" s="2435"/>
      <c r="AF993" s="110"/>
      <c r="AG993" s="25"/>
      <c r="AH993" s="25"/>
      <c r="AI993" s="112"/>
      <c r="AJ993" s="2470"/>
      <c r="AK993" s="2154"/>
      <c r="AL993" s="2154"/>
      <c r="AM993" s="2154"/>
      <c r="AN993" s="2154"/>
      <c r="AO993" s="2154"/>
      <c r="AP993" s="2154"/>
      <c r="AQ993" s="2471"/>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446"/>
      <c r="E994" s="2447"/>
      <c r="F994" s="2447"/>
      <c r="G994" s="2447"/>
      <c r="H994" s="2447"/>
      <c r="I994" s="2447"/>
      <c r="J994" s="2447"/>
      <c r="K994" s="2447"/>
      <c r="L994" s="2447"/>
      <c r="M994" s="2447"/>
      <c r="N994" s="2447"/>
      <c r="O994" s="2447"/>
      <c r="P994" s="2447"/>
      <c r="Q994" s="2447"/>
      <c r="R994" s="2447"/>
      <c r="S994" s="2447"/>
      <c r="T994" s="2447"/>
      <c r="U994" s="2447"/>
      <c r="V994" s="2447"/>
      <c r="W994" s="2447"/>
      <c r="X994" s="2447"/>
      <c r="Y994" s="2447"/>
      <c r="Z994" s="2447"/>
      <c r="AA994" s="2447"/>
      <c r="AB994" s="2447"/>
      <c r="AC994" s="2447"/>
      <c r="AD994" s="2447"/>
      <c r="AE994" s="2448"/>
      <c r="AF994" s="115"/>
      <c r="AG994" s="11"/>
      <c r="AH994" s="11"/>
      <c r="AI994" s="116"/>
      <c r="AJ994" s="2472"/>
      <c r="AK994" s="2473"/>
      <c r="AL994" s="2473"/>
      <c r="AM994" s="2473"/>
      <c r="AN994" s="2473"/>
      <c r="AO994" s="2473"/>
      <c r="AP994" s="2473"/>
      <c r="AQ994" s="2474"/>
      <c r="AR994" s="1582"/>
      <c r="AS994" s="1582"/>
      <c r="AT994" s="1582"/>
      <c r="AU994" s="1582"/>
      <c r="AV994" s="1582"/>
      <c r="AW994" s="1582"/>
      <c r="AX994" s="1582"/>
      <c r="AY994" s="1582"/>
    </row>
    <row r="995" spans="1:96" s="718" customFormat="1" ht="12.75" customHeight="1">
      <c r="A995" s="51"/>
      <c r="B995" s="117"/>
      <c r="C995" s="118" t="s">
        <v>223</v>
      </c>
      <c r="D995" s="2478" t="s">
        <v>1533</v>
      </c>
      <c r="E995" s="2479"/>
      <c r="F995" s="2479"/>
      <c r="G995" s="2479"/>
      <c r="H995" s="2479"/>
      <c r="I995" s="2479"/>
      <c r="J995" s="2479"/>
      <c r="K995" s="2479"/>
      <c r="L995" s="2479"/>
      <c r="M995" s="2479"/>
      <c r="N995" s="2479"/>
      <c r="O995" s="2479"/>
      <c r="P995" s="2479"/>
      <c r="Q995" s="2479"/>
      <c r="R995" s="2479"/>
      <c r="S995" s="2479"/>
      <c r="T995" s="2479"/>
      <c r="U995" s="2479"/>
      <c r="V995" s="2479"/>
      <c r="W995" s="2479"/>
      <c r="X995" s="2479"/>
      <c r="Y995" s="2479"/>
      <c r="Z995" s="2479"/>
      <c r="AA995" s="2479"/>
      <c r="AB995" s="2479"/>
      <c r="AC995" s="2479"/>
      <c r="AD995" s="2479"/>
      <c r="AE995" s="2480"/>
      <c r="AF995" s="117"/>
      <c r="AG995" s="2442" t="s">
        <v>705</v>
      </c>
      <c r="AH995" s="2443"/>
      <c r="AI995" s="125"/>
      <c r="AJ995" s="2467">
        <f>IF(AG995="yes",AJ975*BA995,0)</f>
        <v>0</v>
      </c>
      <c r="AK995" s="2468"/>
      <c r="AL995" s="2468"/>
      <c r="AM995" s="2468"/>
      <c r="AN995" s="2468"/>
      <c r="AO995" s="2468"/>
      <c r="AP995" s="2468"/>
      <c r="AQ995" s="2469"/>
      <c r="AR995" s="1582"/>
      <c r="AS995" s="1582"/>
      <c r="AT995" s="1582"/>
      <c r="AU995" s="1582"/>
      <c r="AV995" s="1582"/>
      <c r="AW995" s="1582"/>
      <c r="AX995" s="1582"/>
      <c r="AY995" s="1582"/>
      <c r="BA995" s="321">
        <f>IF(SUM(BA997:BA1005)&lt;=0.1,SUM(BA997:BA1005),0.1)</f>
        <v>0</v>
      </c>
      <c r="CR995" s="25"/>
    </row>
    <row r="996" spans="1:96" ht="12.75" customHeight="1">
      <c r="A996" s="51"/>
      <c r="B996" s="110"/>
      <c r="C996" s="111"/>
      <c r="D996" s="2433" t="s">
        <v>1534</v>
      </c>
      <c r="E996" s="2434"/>
      <c r="F996" s="2434"/>
      <c r="G996" s="2434"/>
      <c r="H996" s="2434"/>
      <c r="I996" s="2434"/>
      <c r="J996" s="2434"/>
      <c r="K996" s="2434"/>
      <c r="L996" s="2434"/>
      <c r="M996" s="2434"/>
      <c r="N996" s="2434"/>
      <c r="O996" s="2434"/>
      <c r="P996" s="2434"/>
      <c r="Q996" s="2434"/>
      <c r="R996" s="2434"/>
      <c r="S996" s="2434"/>
      <c r="T996" s="2434"/>
      <c r="U996" s="2434"/>
      <c r="V996" s="2434"/>
      <c r="W996" s="2434"/>
      <c r="X996" s="2434"/>
      <c r="Y996" s="2434"/>
      <c r="Z996" s="2434"/>
      <c r="AA996" s="2434"/>
      <c r="AB996" s="2434"/>
      <c r="AC996" s="2434"/>
      <c r="AD996" s="2434"/>
      <c r="AE996" s="2435"/>
      <c r="AF996" s="110"/>
      <c r="AG996" s="112"/>
      <c r="AH996" s="112"/>
      <c r="AI996" s="121"/>
      <c r="AJ996" s="2470"/>
      <c r="AK996" s="2154"/>
      <c r="AL996" s="2154"/>
      <c r="AM996" s="2154"/>
      <c r="AN996" s="2154"/>
      <c r="AO996" s="2154"/>
      <c r="AP996" s="2154"/>
      <c r="AQ996" s="2471"/>
      <c r="AR996" s="1582"/>
      <c r="AS996" s="1582"/>
      <c r="AT996" s="1582"/>
      <c r="AU996" s="1582"/>
      <c r="AV996" s="1582"/>
      <c r="AW996" s="1582"/>
      <c r="AX996" s="1582"/>
      <c r="AY996" s="1582"/>
    </row>
    <row r="997" spans="1:96" ht="12.75" customHeight="1">
      <c r="A997" s="51"/>
      <c r="B997" s="110"/>
      <c r="C997" s="111"/>
      <c r="D997" s="2433"/>
      <c r="E997" s="2434"/>
      <c r="F997" s="2434"/>
      <c r="G997" s="2434"/>
      <c r="H997" s="2434"/>
      <c r="I997" s="2434"/>
      <c r="J997" s="2434"/>
      <c r="K997" s="2434"/>
      <c r="L997" s="2434"/>
      <c r="M997" s="2434"/>
      <c r="N997" s="2434"/>
      <c r="O997" s="2434"/>
      <c r="P997" s="2434"/>
      <c r="Q997" s="2434"/>
      <c r="R997" s="2434"/>
      <c r="S997" s="2434"/>
      <c r="T997" s="2434"/>
      <c r="U997" s="2434"/>
      <c r="V997" s="2434"/>
      <c r="W997" s="2434"/>
      <c r="X997" s="2434"/>
      <c r="Y997" s="2434"/>
      <c r="Z997" s="2434"/>
      <c r="AA997" s="2434"/>
      <c r="AB997" s="2434"/>
      <c r="AC997" s="2434"/>
      <c r="AD997" s="2434"/>
      <c r="AE997" s="2435"/>
      <c r="AF997" s="110"/>
      <c r="AG997" s="112"/>
      <c r="AH997" s="112"/>
      <c r="AI997" s="121"/>
      <c r="AJ997" s="2470"/>
      <c r="AK997" s="2154"/>
      <c r="AL997" s="2154"/>
      <c r="AM997" s="2154"/>
      <c r="AN997" s="2154"/>
      <c r="AO997" s="2154"/>
      <c r="AP997" s="2154"/>
      <c r="AQ997" s="2471"/>
      <c r="AR997" s="1582"/>
      <c r="AS997" s="1582"/>
      <c r="AT997" s="1582"/>
      <c r="AU997" s="1582"/>
      <c r="AV997" s="1582"/>
      <c r="AW997" s="1582"/>
      <c r="AX997" s="1582"/>
      <c r="AY997" s="1582"/>
      <c r="BA997" s="319">
        <f>IF(A1044="Yes",0.05,0)</f>
        <v>0</v>
      </c>
    </row>
    <row r="998" spans="1:96" ht="15" customHeight="1">
      <c r="A998" s="51"/>
      <c r="B998" s="119"/>
      <c r="C998" s="120"/>
      <c r="D998" s="2446"/>
      <c r="E998" s="2447"/>
      <c r="F998" s="2447"/>
      <c r="G998" s="2447"/>
      <c r="H998" s="2447"/>
      <c r="I998" s="2447"/>
      <c r="J998" s="2447"/>
      <c r="K998" s="2447"/>
      <c r="L998" s="2447"/>
      <c r="M998" s="2447"/>
      <c r="N998" s="2447"/>
      <c r="O998" s="2447"/>
      <c r="P998" s="2447"/>
      <c r="Q998" s="2447"/>
      <c r="R998" s="2447"/>
      <c r="S998" s="2447"/>
      <c r="T998" s="2447"/>
      <c r="U998" s="2447"/>
      <c r="V998" s="2447"/>
      <c r="W998" s="2447"/>
      <c r="X998" s="2447"/>
      <c r="Y998" s="2447"/>
      <c r="Z998" s="2447"/>
      <c r="AA998" s="2447"/>
      <c r="AB998" s="2447"/>
      <c r="AC998" s="2447"/>
      <c r="AD998" s="2447"/>
      <c r="AE998" s="2448"/>
      <c r="AF998" s="115"/>
      <c r="AG998" s="11"/>
      <c r="AH998" s="11"/>
      <c r="AI998" s="116"/>
      <c r="AJ998" s="2472"/>
      <c r="AK998" s="2473"/>
      <c r="AL998" s="2473"/>
      <c r="AM998" s="2473"/>
      <c r="AN998" s="2473"/>
      <c r="AO998" s="2473"/>
      <c r="AP998" s="2473"/>
      <c r="AQ998" s="2474"/>
      <c r="AR998" s="1582"/>
      <c r="AS998" s="1582"/>
      <c r="AT998" s="1582"/>
      <c r="AU998" s="1582"/>
      <c r="AV998" s="1582"/>
      <c r="AW998" s="1582"/>
      <c r="AX998" s="1582"/>
      <c r="AY998" s="1582"/>
      <c r="BA998" s="319">
        <f>IF(A1050="Yes",0.02,0)</f>
        <v>0</v>
      </c>
    </row>
    <row r="999" spans="1:96" s="718" customFormat="1" ht="15" customHeight="1">
      <c r="A999" s="51"/>
      <c r="B999" s="117"/>
      <c r="C999" s="118" t="s">
        <v>228</v>
      </c>
      <c r="D999" s="2536" t="s">
        <v>1535</v>
      </c>
      <c r="E999" s="2537"/>
      <c r="F999" s="2537"/>
      <c r="G999" s="2537"/>
      <c r="H999" s="2537"/>
      <c r="I999" s="2537"/>
      <c r="J999" s="2537"/>
      <c r="K999" s="2537"/>
      <c r="L999" s="2537"/>
      <c r="M999" s="2537"/>
      <c r="N999" s="2537"/>
      <c r="O999" s="2537"/>
      <c r="P999" s="2537"/>
      <c r="Q999" s="2537"/>
      <c r="R999" s="2537"/>
      <c r="S999" s="2537"/>
      <c r="T999" s="2537"/>
      <c r="U999" s="2537"/>
      <c r="V999" s="2537"/>
      <c r="W999" s="2537"/>
      <c r="X999" s="2537"/>
      <c r="Y999" s="2537"/>
      <c r="Z999" s="2537"/>
      <c r="AA999" s="2537"/>
      <c r="AB999" s="2537"/>
      <c r="AC999" s="2537"/>
      <c r="AD999" s="2537"/>
      <c r="AE999" s="2538"/>
      <c r="AF999" s="117"/>
      <c r="AG999" s="2442" t="s">
        <v>705</v>
      </c>
      <c r="AH999" s="2443"/>
      <c r="AI999" s="125"/>
      <c r="AJ999" s="2503"/>
      <c r="AK999" s="2504"/>
      <c r="AL999" s="2504"/>
      <c r="AM999" s="2504"/>
      <c r="AN999" s="2504"/>
      <c r="AO999" s="2504"/>
      <c r="AP999" s="2504"/>
      <c r="AQ999" s="2505"/>
      <c r="AR999" s="1582"/>
      <c r="AS999" s="1582"/>
      <c r="AT999" s="1582"/>
      <c r="AU999" s="1582"/>
      <c r="AV999" s="1582"/>
      <c r="AW999" s="1582"/>
      <c r="AX999" s="1582"/>
      <c r="AY999" s="1582"/>
      <c r="BA999" s="319">
        <f>IF(A1056="Yes",0.04,0)</f>
        <v>0</v>
      </c>
      <c r="CR999" s="25"/>
    </row>
    <row r="1000" spans="1:96" ht="12.75">
      <c r="A1000" s="51"/>
      <c r="B1000" s="119"/>
      <c r="C1000" s="122"/>
      <c r="D1000" s="2539"/>
      <c r="E1000" s="2540"/>
      <c r="F1000" s="2540"/>
      <c r="G1000" s="2540"/>
      <c r="H1000" s="2540"/>
      <c r="I1000" s="2540"/>
      <c r="J1000" s="2540"/>
      <c r="K1000" s="2540"/>
      <c r="L1000" s="2540"/>
      <c r="M1000" s="2540"/>
      <c r="N1000" s="2540"/>
      <c r="O1000" s="2540"/>
      <c r="P1000" s="2540"/>
      <c r="Q1000" s="2540"/>
      <c r="R1000" s="2540"/>
      <c r="S1000" s="2540"/>
      <c r="T1000" s="2540"/>
      <c r="U1000" s="2540"/>
      <c r="V1000" s="2540"/>
      <c r="W1000" s="2540"/>
      <c r="X1000" s="2540"/>
      <c r="Y1000" s="2540"/>
      <c r="Z1000" s="2540"/>
      <c r="AA1000" s="2540"/>
      <c r="AB1000" s="2540"/>
      <c r="AC1000" s="2540"/>
      <c r="AD1000" s="2540"/>
      <c r="AE1000" s="2541"/>
      <c r="AF1000" s="2524">
        <f>IF(AG999="yes","Please Select Type and Enter Amount:",0)</f>
        <v>0</v>
      </c>
      <c r="AG1000" s="2525"/>
      <c r="AH1000" s="2525"/>
      <c r="AI1000" s="2526"/>
      <c r="AJ1000" s="2506"/>
      <c r="AK1000" s="2507"/>
      <c r="AL1000" s="2507"/>
      <c r="AM1000" s="2507"/>
      <c r="AN1000" s="2507"/>
      <c r="AO1000" s="2507"/>
      <c r="AP1000" s="2507"/>
      <c r="AQ1000" s="2508"/>
      <c r="AR1000" s="1582"/>
      <c r="AS1000" s="1582"/>
      <c r="AT1000" s="1582"/>
      <c r="AU1000" s="1582"/>
      <c r="AV1000" s="1582"/>
      <c r="AW1000" s="1582"/>
      <c r="AX1000" s="1582"/>
      <c r="AY1000" s="1582"/>
      <c r="BA1000" s="319">
        <f>IF(A1063="Yes",0.04,0)</f>
        <v>0</v>
      </c>
    </row>
    <row r="1001" spans="1:96" ht="12.75" customHeight="1">
      <c r="A1001" s="51"/>
      <c r="B1001" s="119"/>
      <c r="C1001" s="122"/>
      <c r="D1001" s="2433" t="s">
        <v>1536</v>
      </c>
      <c r="E1001" s="2434"/>
      <c r="F1001" s="2434"/>
      <c r="G1001" s="2434"/>
      <c r="H1001" s="2434"/>
      <c r="I1001" s="2434"/>
      <c r="J1001" s="2434"/>
      <c r="K1001" s="2434"/>
      <c r="L1001" s="2434"/>
      <c r="M1001" s="2434"/>
      <c r="N1001" s="2434"/>
      <c r="O1001" s="2434"/>
      <c r="P1001" s="2434"/>
      <c r="Q1001" s="2434"/>
      <c r="R1001" s="2434"/>
      <c r="S1001" s="2434"/>
      <c r="T1001" s="2434"/>
      <c r="U1001" s="2434"/>
      <c r="V1001" s="2434"/>
      <c r="W1001" s="2434"/>
      <c r="X1001" s="2434"/>
      <c r="Y1001" s="2434"/>
      <c r="Z1001" s="2434"/>
      <c r="AA1001" s="2434"/>
      <c r="AB1001" s="2434"/>
      <c r="AC1001" s="2434"/>
      <c r="AD1001" s="2434"/>
      <c r="AE1001" s="2435"/>
      <c r="AF1001" s="2524"/>
      <c r="AG1001" s="2525"/>
      <c r="AH1001" s="2525"/>
      <c r="AI1001" s="2526"/>
      <c r="AJ1001" s="2506"/>
      <c r="AK1001" s="2507"/>
      <c r="AL1001" s="2507"/>
      <c r="AM1001" s="2507"/>
      <c r="AN1001" s="2507"/>
      <c r="AO1001" s="2507"/>
      <c r="AP1001" s="2507"/>
      <c r="AQ1001" s="2508"/>
      <c r="AR1001" s="1582"/>
      <c r="AS1001" s="1582"/>
      <c r="AT1001" s="1582"/>
      <c r="AU1001" s="1582"/>
      <c r="AV1001" s="1582"/>
      <c r="AW1001" s="1582"/>
      <c r="AX1001" s="1582"/>
      <c r="AY1001" s="1582"/>
      <c r="BA1001" s="319">
        <f>IF(A1066="Yes",0.01,0)</f>
        <v>0</v>
      </c>
    </row>
    <row r="1002" spans="1:96" ht="12.75" customHeight="1">
      <c r="A1002" s="51"/>
      <c r="B1002" s="119"/>
      <c r="C1002" s="122"/>
      <c r="D1002" s="2433"/>
      <c r="E1002" s="2434"/>
      <c r="F1002" s="2434"/>
      <c r="G1002" s="2434"/>
      <c r="H1002" s="2434"/>
      <c r="I1002" s="2434"/>
      <c r="J1002" s="2434"/>
      <c r="K1002" s="2434"/>
      <c r="L1002" s="2434"/>
      <c r="M1002" s="2434"/>
      <c r="N1002" s="2434"/>
      <c r="O1002" s="2434"/>
      <c r="P1002" s="2434"/>
      <c r="Q1002" s="2434"/>
      <c r="R1002" s="2434"/>
      <c r="S1002" s="2434"/>
      <c r="T1002" s="2434"/>
      <c r="U1002" s="2434"/>
      <c r="V1002" s="2434"/>
      <c r="W1002" s="2434"/>
      <c r="X1002" s="2434"/>
      <c r="Y1002" s="2434"/>
      <c r="Z1002" s="2434"/>
      <c r="AA1002" s="2434"/>
      <c r="AB1002" s="2434"/>
      <c r="AC1002" s="2434"/>
      <c r="AD1002" s="2434"/>
      <c r="AE1002" s="2435"/>
      <c r="AF1002" s="2524"/>
      <c r="AG1002" s="2525"/>
      <c r="AH1002" s="2525"/>
      <c r="AI1002" s="2526"/>
      <c r="AJ1002" s="2506"/>
      <c r="AK1002" s="2507"/>
      <c r="AL1002" s="2507"/>
      <c r="AM1002" s="2507"/>
      <c r="AN1002" s="2507"/>
      <c r="AO1002" s="2507"/>
      <c r="AP1002" s="2507"/>
      <c r="AQ1002" s="2508"/>
      <c r="AR1002" s="1582"/>
      <c r="AS1002" s="1582"/>
      <c r="AT1002" s="1582"/>
      <c r="AU1002" s="1582"/>
      <c r="AV1002" s="1582"/>
      <c r="AW1002" s="1582"/>
      <c r="AX1002" s="1582"/>
      <c r="AY1002" s="1582"/>
      <c r="BA1002" s="319">
        <f>IF(A1071="Yes",0.01,0)</f>
        <v>0</v>
      </c>
    </row>
    <row r="1003" spans="1:96" s="718" customFormat="1" ht="12.75" customHeight="1">
      <c r="A1003" s="51"/>
      <c r="B1003" s="119"/>
      <c r="C1003" s="122"/>
      <c r="D1003" s="905" t="s">
        <v>368</v>
      </c>
      <c r="E1003" s="133"/>
      <c r="F1003" s="133"/>
      <c r="G1003" s="160"/>
      <c r="H1003" s="160"/>
      <c r="I1003" s="81"/>
      <c r="J1003" s="2542" t="s">
        <v>625</v>
      </c>
      <c r="K1003" s="2543"/>
      <c r="L1003" s="2543"/>
      <c r="M1003" s="2543"/>
      <c r="N1003" s="2543"/>
      <c r="O1003" s="2543"/>
      <c r="P1003" s="2543"/>
      <c r="Q1003" s="2543"/>
      <c r="R1003" s="2543"/>
      <c r="S1003" s="2543"/>
      <c r="T1003" s="2543"/>
      <c r="U1003" s="2543"/>
      <c r="V1003" s="2543"/>
      <c r="W1003" s="2543"/>
      <c r="X1003" s="2543"/>
      <c r="Y1003" s="2543"/>
      <c r="Z1003" s="2543"/>
      <c r="AA1003" s="2543"/>
      <c r="AB1003" s="2543"/>
      <c r="AC1003" s="2543"/>
      <c r="AD1003" s="2543"/>
      <c r="AE1003" s="2544"/>
      <c r="AF1003" s="2527"/>
      <c r="AG1003" s="2528"/>
      <c r="AH1003" s="2528"/>
      <c r="AI1003" s="2529"/>
      <c r="AJ1003" s="2509"/>
      <c r="AK1003" s="2510"/>
      <c r="AL1003" s="2510"/>
      <c r="AM1003" s="2510"/>
      <c r="AN1003" s="2510"/>
      <c r="AO1003" s="2510"/>
      <c r="AP1003" s="2510"/>
      <c r="AQ1003" s="2511"/>
      <c r="AR1003" s="1582"/>
      <c r="AS1003" s="1582"/>
      <c r="AT1003" s="1582"/>
      <c r="AU1003" s="1582"/>
      <c r="AV1003" s="1582"/>
      <c r="AW1003" s="1582"/>
      <c r="AX1003" s="1582"/>
      <c r="AY1003" s="1582"/>
      <c r="BA1003" s="319">
        <f>IF(A1074="Yes",0.01,0)</f>
        <v>0</v>
      </c>
      <c r="CR1003" s="25"/>
    </row>
    <row r="1004" spans="1:96" ht="12.75" customHeight="1">
      <c r="A1004" s="51"/>
      <c r="B1004" s="117"/>
      <c r="C1004" s="118" t="s">
        <v>234</v>
      </c>
      <c r="D1004" s="2430" t="s">
        <v>1537</v>
      </c>
      <c r="E1004" s="2431"/>
      <c r="F1004" s="2431"/>
      <c r="G1004" s="2431"/>
      <c r="H1004" s="2431"/>
      <c r="I1004" s="2431"/>
      <c r="J1004" s="2431"/>
      <c r="K1004" s="2431"/>
      <c r="L1004" s="2431"/>
      <c r="M1004" s="2431"/>
      <c r="N1004" s="2431"/>
      <c r="O1004" s="2431"/>
      <c r="P1004" s="2431"/>
      <c r="Q1004" s="2431"/>
      <c r="R1004" s="2431"/>
      <c r="S1004" s="2431"/>
      <c r="T1004" s="2431"/>
      <c r="U1004" s="2431"/>
      <c r="V1004" s="2431"/>
      <c r="W1004" s="2431"/>
      <c r="X1004" s="2431"/>
      <c r="Y1004" s="2431"/>
      <c r="Z1004" s="2431"/>
      <c r="AA1004" s="2431"/>
      <c r="AB1004" s="2431"/>
      <c r="AC1004" s="2431"/>
      <c r="AD1004" s="2431"/>
      <c r="AE1004" s="2432"/>
      <c r="AF1004" s="117"/>
      <c r="AG1004" s="2442" t="s">
        <v>577</v>
      </c>
      <c r="AH1004" s="2443"/>
      <c r="AI1004" s="125"/>
      <c r="AJ1004" s="2503">
        <v>810962.09</v>
      </c>
      <c r="AK1004" s="2504"/>
      <c r="AL1004" s="2504"/>
      <c r="AM1004" s="2504"/>
      <c r="AN1004" s="2504"/>
      <c r="AO1004" s="2504"/>
      <c r="AP1004" s="2504"/>
      <c r="AQ1004" s="2505"/>
      <c r="AR1004" s="1582"/>
      <c r="AS1004" s="1582"/>
      <c r="AT1004" s="1582"/>
      <c r="AU1004" s="1582"/>
      <c r="AV1004" s="1582"/>
      <c r="AW1004" s="1582"/>
      <c r="AX1004" s="1582"/>
      <c r="AY1004" s="1582"/>
      <c r="BA1004" s="319">
        <f>IF(A1078="Yes",0.02,0)</f>
        <v>0</v>
      </c>
    </row>
    <row r="1005" spans="1:96" ht="12.75" customHeight="1">
      <c r="A1005" s="51"/>
      <c r="B1005" s="110"/>
      <c r="C1005" s="111"/>
      <c r="D1005" s="2433" t="s">
        <v>2176</v>
      </c>
      <c r="E1005" s="2434"/>
      <c r="F1005" s="2434"/>
      <c r="G1005" s="2434"/>
      <c r="H1005" s="2434"/>
      <c r="I1005" s="2434"/>
      <c r="J1005" s="2434"/>
      <c r="K1005" s="2434"/>
      <c r="L1005" s="2434"/>
      <c r="M1005" s="2434"/>
      <c r="N1005" s="2434"/>
      <c r="O1005" s="2434"/>
      <c r="P1005" s="2434"/>
      <c r="Q1005" s="2434"/>
      <c r="R1005" s="2434"/>
      <c r="S1005" s="2434"/>
      <c r="T1005" s="2434"/>
      <c r="U1005" s="2434"/>
      <c r="V1005" s="2434"/>
      <c r="W1005" s="2434"/>
      <c r="X1005" s="2434"/>
      <c r="Y1005" s="2434"/>
      <c r="Z1005" s="2434"/>
      <c r="AA1005" s="2434"/>
      <c r="AB1005" s="2434"/>
      <c r="AC1005" s="2434"/>
      <c r="AD1005" s="2434"/>
      <c r="AE1005" s="2435"/>
      <c r="AF1005" s="2530" t="str">
        <f>IF(AG1004="yes","Please Enter Amount:",0)</f>
        <v>Please Enter Amount:</v>
      </c>
      <c r="AG1005" s="2531"/>
      <c r="AH1005" s="2531"/>
      <c r="AI1005" s="2532"/>
      <c r="AJ1005" s="2506"/>
      <c r="AK1005" s="2507"/>
      <c r="AL1005" s="2507"/>
      <c r="AM1005" s="2507"/>
      <c r="AN1005" s="2507"/>
      <c r="AO1005" s="2507"/>
      <c r="AP1005" s="2507"/>
      <c r="AQ1005" s="2508"/>
      <c r="AR1005" s="1582"/>
      <c r="AS1005" s="1582"/>
      <c r="AT1005" s="1582"/>
      <c r="AU1005" s="1582"/>
      <c r="AV1005" s="1582"/>
      <c r="AW1005" s="1582"/>
      <c r="AX1005" s="1582"/>
      <c r="AY1005" s="1582"/>
      <c r="BA1005" s="320">
        <f>IF(A1082="Yes",0.02,0)</f>
        <v>0</v>
      </c>
    </row>
    <row r="1006" spans="1:96" ht="12.75" customHeight="1">
      <c r="A1006" s="51"/>
      <c r="B1006" s="110"/>
      <c r="C1006" s="111"/>
      <c r="D1006" s="2433"/>
      <c r="E1006" s="2434"/>
      <c r="F1006" s="2434"/>
      <c r="G1006" s="2434"/>
      <c r="H1006" s="2434"/>
      <c r="I1006" s="2434"/>
      <c r="J1006" s="2434"/>
      <c r="K1006" s="2434"/>
      <c r="L1006" s="2434"/>
      <c r="M1006" s="2434"/>
      <c r="N1006" s="2434"/>
      <c r="O1006" s="2434"/>
      <c r="P1006" s="2434"/>
      <c r="Q1006" s="2434"/>
      <c r="R1006" s="2434"/>
      <c r="S1006" s="2434"/>
      <c r="T1006" s="2434"/>
      <c r="U1006" s="2434"/>
      <c r="V1006" s="2434"/>
      <c r="W1006" s="2434"/>
      <c r="X1006" s="2434"/>
      <c r="Y1006" s="2434"/>
      <c r="Z1006" s="2434"/>
      <c r="AA1006" s="2434"/>
      <c r="AB1006" s="2434"/>
      <c r="AC1006" s="2434"/>
      <c r="AD1006" s="2434"/>
      <c r="AE1006" s="2435"/>
      <c r="AF1006" s="2530"/>
      <c r="AG1006" s="2531"/>
      <c r="AH1006" s="2531"/>
      <c r="AI1006" s="2532"/>
      <c r="AJ1006" s="2506"/>
      <c r="AK1006" s="2507"/>
      <c r="AL1006" s="2507"/>
      <c r="AM1006" s="2507"/>
      <c r="AN1006" s="2507"/>
      <c r="AO1006" s="2507"/>
      <c r="AP1006" s="2507"/>
      <c r="AQ1006" s="2508"/>
      <c r="AR1006" s="1582"/>
      <c r="AS1006" s="1582"/>
      <c r="AT1006" s="1582"/>
      <c r="AU1006" s="1582"/>
      <c r="AV1006" s="1582"/>
      <c r="AW1006" s="1582"/>
      <c r="AX1006" s="1582"/>
      <c r="AY1006" s="1582"/>
    </row>
    <row r="1007" spans="1:96" ht="12.75" customHeight="1">
      <c r="A1007" s="51"/>
      <c r="B1007" s="123"/>
      <c r="C1007" s="122"/>
      <c r="D1007" s="2446"/>
      <c r="E1007" s="2447"/>
      <c r="F1007" s="2447"/>
      <c r="G1007" s="2447"/>
      <c r="H1007" s="2447"/>
      <c r="I1007" s="2447"/>
      <c r="J1007" s="2447"/>
      <c r="K1007" s="2447"/>
      <c r="L1007" s="2447"/>
      <c r="M1007" s="2447"/>
      <c r="N1007" s="2447"/>
      <c r="O1007" s="2447"/>
      <c r="P1007" s="2447"/>
      <c r="Q1007" s="2447"/>
      <c r="R1007" s="2447"/>
      <c r="S1007" s="2447"/>
      <c r="T1007" s="2447"/>
      <c r="U1007" s="2447"/>
      <c r="V1007" s="2447"/>
      <c r="W1007" s="2447"/>
      <c r="X1007" s="2447"/>
      <c r="Y1007" s="2447"/>
      <c r="Z1007" s="2447"/>
      <c r="AA1007" s="2447"/>
      <c r="AB1007" s="2447"/>
      <c r="AC1007" s="2447"/>
      <c r="AD1007" s="2447"/>
      <c r="AE1007" s="2448"/>
      <c r="AF1007" s="2533"/>
      <c r="AG1007" s="2534"/>
      <c r="AH1007" s="2534"/>
      <c r="AI1007" s="2535"/>
      <c r="AJ1007" s="2509"/>
      <c r="AK1007" s="2510"/>
      <c r="AL1007" s="2510"/>
      <c r="AM1007" s="2510"/>
      <c r="AN1007" s="2510"/>
      <c r="AO1007" s="2510"/>
      <c r="AP1007" s="2510"/>
      <c r="AQ1007" s="2511"/>
      <c r="AR1007" s="1582"/>
      <c r="AS1007" s="1582"/>
      <c r="AT1007" s="1582"/>
      <c r="AU1007" s="1582"/>
      <c r="AV1007" s="1582"/>
      <c r="AW1007" s="1582"/>
      <c r="AX1007" s="1582"/>
      <c r="AY1007" s="1582"/>
    </row>
    <row r="1008" spans="1:96" s="718" customFormat="1" ht="12.75" customHeight="1">
      <c r="A1008" s="51"/>
      <c r="B1008" s="117"/>
      <c r="C1008" s="118" t="s">
        <v>239</v>
      </c>
      <c r="D1008" s="2478" t="s">
        <v>1538</v>
      </c>
      <c r="E1008" s="2479"/>
      <c r="F1008" s="2479"/>
      <c r="G1008" s="2479"/>
      <c r="H1008" s="2479"/>
      <c r="I1008" s="2479"/>
      <c r="J1008" s="2479"/>
      <c r="K1008" s="2479"/>
      <c r="L1008" s="2479"/>
      <c r="M1008" s="2479"/>
      <c r="N1008" s="2479"/>
      <c r="O1008" s="2479"/>
      <c r="P1008" s="2479"/>
      <c r="Q1008" s="2479"/>
      <c r="R1008" s="2479"/>
      <c r="S1008" s="2479"/>
      <c r="T1008" s="2479"/>
      <c r="U1008" s="2479"/>
      <c r="V1008" s="2479"/>
      <c r="W1008" s="2479"/>
      <c r="X1008" s="2479"/>
      <c r="Y1008" s="2479"/>
      <c r="Z1008" s="2479"/>
      <c r="AA1008" s="2479"/>
      <c r="AB1008" s="2479"/>
      <c r="AC1008" s="2479"/>
      <c r="AD1008" s="2479"/>
      <c r="AE1008" s="2480"/>
      <c r="AF1008" s="117"/>
      <c r="AG1008" s="2442" t="s">
        <v>705</v>
      </c>
      <c r="AH1008" s="2443"/>
      <c r="AI1008" s="125"/>
      <c r="AJ1008" s="2467">
        <f>ROUND(IF(AG1008="yes",(AJ975*0.1),0),0)</f>
        <v>0</v>
      </c>
      <c r="AK1008" s="2468"/>
      <c r="AL1008" s="2468"/>
      <c r="AM1008" s="2468"/>
      <c r="AN1008" s="2468"/>
      <c r="AO1008" s="2468"/>
      <c r="AP1008" s="2468"/>
      <c r="AQ1008" s="2469"/>
      <c r="AR1008" s="1582"/>
      <c r="AS1008" s="1582"/>
      <c r="AT1008" s="1582"/>
      <c r="AU1008" s="1582"/>
      <c r="AV1008" s="1582"/>
      <c r="AW1008" s="1582"/>
      <c r="AX1008" s="1582"/>
      <c r="AY1008" s="1582"/>
      <c r="CR1008" s="25"/>
    </row>
    <row r="1009" spans="1:96" ht="12.75" customHeight="1">
      <c r="A1009" s="51"/>
      <c r="B1009" s="110"/>
      <c r="C1009" s="111"/>
      <c r="D1009" s="2433" t="s">
        <v>1539</v>
      </c>
      <c r="E1009" s="2434"/>
      <c r="F1009" s="2434"/>
      <c r="G1009" s="2434"/>
      <c r="H1009" s="2434"/>
      <c r="I1009" s="2434"/>
      <c r="J1009" s="2434"/>
      <c r="K1009" s="2434"/>
      <c r="L1009" s="2434"/>
      <c r="M1009" s="2434"/>
      <c r="N1009" s="2434"/>
      <c r="O1009" s="2434"/>
      <c r="P1009" s="2434"/>
      <c r="Q1009" s="2434"/>
      <c r="R1009" s="2434"/>
      <c r="S1009" s="2434"/>
      <c r="T1009" s="2434"/>
      <c r="U1009" s="2434"/>
      <c r="V1009" s="2434"/>
      <c r="W1009" s="2434"/>
      <c r="X1009" s="2434"/>
      <c r="Y1009" s="2434"/>
      <c r="Z1009" s="2434"/>
      <c r="AA1009" s="2434"/>
      <c r="AB1009" s="2434"/>
      <c r="AC1009" s="2434"/>
      <c r="AD1009" s="2434"/>
      <c r="AE1009" s="2435"/>
      <c r="AF1009" s="110"/>
      <c r="AG1009" s="112"/>
      <c r="AH1009" s="112"/>
      <c r="AI1009" s="121"/>
      <c r="AJ1009" s="2470"/>
      <c r="AK1009" s="2154"/>
      <c r="AL1009" s="2154"/>
      <c r="AM1009" s="2154"/>
      <c r="AN1009" s="2154"/>
      <c r="AO1009" s="2154"/>
      <c r="AP1009" s="2154"/>
      <c r="AQ1009" s="2471"/>
      <c r="AR1009" s="1582"/>
      <c r="AS1009" s="1582"/>
      <c r="AT1009" s="1582"/>
      <c r="AU1009" s="1582"/>
      <c r="AV1009" s="1582"/>
      <c r="AW1009" s="1582"/>
      <c r="AX1009" s="1582"/>
      <c r="AY1009" s="1582"/>
    </row>
    <row r="1010" spans="1:96" ht="12.75" customHeight="1">
      <c r="A1010" s="51"/>
      <c r="B1010" s="115"/>
      <c r="C1010" s="111"/>
      <c r="D1010" s="2446"/>
      <c r="E1010" s="2447"/>
      <c r="F1010" s="2447"/>
      <c r="G1010" s="2447"/>
      <c r="H1010" s="2447"/>
      <c r="I1010" s="2447"/>
      <c r="J1010" s="2447"/>
      <c r="K1010" s="2447"/>
      <c r="L1010" s="2447"/>
      <c r="M1010" s="2447"/>
      <c r="N1010" s="2447"/>
      <c r="O1010" s="2447"/>
      <c r="P1010" s="2447"/>
      <c r="Q1010" s="2447"/>
      <c r="R1010" s="2447"/>
      <c r="S1010" s="2447"/>
      <c r="T1010" s="2447"/>
      <c r="U1010" s="2447"/>
      <c r="V1010" s="2447"/>
      <c r="W1010" s="2447"/>
      <c r="X1010" s="2447"/>
      <c r="Y1010" s="2447"/>
      <c r="Z1010" s="2447"/>
      <c r="AA1010" s="2447"/>
      <c r="AB1010" s="2447"/>
      <c r="AC1010" s="2447"/>
      <c r="AD1010" s="2447"/>
      <c r="AE1010" s="2448"/>
      <c r="AF1010" s="110"/>
      <c r="AG1010" s="112"/>
      <c r="AH1010" s="112"/>
      <c r="AI1010" s="121"/>
      <c r="AJ1010" s="2472"/>
      <c r="AK1010" s="2473"/>
      <c r="AL1010" s="2473"/>
      <c r="AM1010" s="2473"/>
      <c r="AN1010" s="2473"/>
      <c r="AO1010" s="2473"/>
      <c r="AP1010" s="2473"/>
      <c r="AQ1010" s="2474"/>
      <c r="AR1010" s="1582"/>
      <c r="AS1010" s="1582"/>
      <c r="AT1010" s="1582"/>
      <c r="AU1010" s="1582"/>
      <c r="AV1010" s="1582"/>
      <c r="AW1010" s="1582"/>
      <c r="AX1010" s="1582"/>
      <c r="AY1010" s="1582"/>
    </row>
    <row r="1011" spans="1:96" s="718" customFormat="1" ht="12.75" customHeight="1">
      <c r="A1011" s="51"/>
      <c r="B1011" s="110"/>
      <c r="C1011" s="530" t="s">
        <v>724</v>
      </c>
      <c r="D1011" s="2430" t="s">
        <v>2172</v>
      </c>
      <c r="E1011" s="2431"/>
      <c r="F1011" s="2431"/>
      <c r="G1011" s="2431"/>
      <c r="H1011" s="2431"/>
      <c r="I1011" s="2431"/>
      <c r="J1011" s="2431"/>
      <c r="K1011" s="2431"/>
      <c r="L1011" s="2431"/>
      <c r="M1011" s="2431"/>
      <c r="N1011" s="2431"/>
      <c r="O1011" s="2431"/>
      <c r="P1011" s="2431"/>
      <c r="Q1011" s="2431"/>
      <c r="R1011" s="2431"/>
      <c r="S1011" s="2431"/>
      <c r="T1011" s="2431"/>
      <c r="U1011" s="2431"/>
      <c r="V1011" s="2431"/>
      <c r="W1011" s="2431"/>
      <c r="X1011" s="2431"/>
      <c r="Y1011" s="2431"/>
      <c r="Z1011" s="2431"/>
      <c r="AA1011" s="2431"/>
      <c r="AB1011" s="2431"/>
      <c r="AC1011" s="2431"/>
      <c r="AD1011" s="2431"/>
      <c r="AE1011" s="2432"/>
      <c r="AF1011" s="117"/>
      <c r="AG1011" s="2442" t="s">
        <v>705</v>
      </c>
      <c r="AH1011" s="2443"/>
      <c r="AI1011" s="125"/>
      <c r="AJ1011" s="2467">
        <f>ROUND(IF(AG1011="yes",(AJ975*0.15),0),0)</f>
        <v>0</v>
      </c>
      <c r="AK1011" s="2468"/>
      <c r="AL1011" s="2468"/>
      <c r="AM1011" s="2468"/>
      <c r="AN1011" s="2468"/>
      <c r="AO1011" s="2468"/>
      <c r="AP1011" s="2468"/>
      <c r="AQ1011" s="2469"/>
      <c r="AR1011" s="1582"/>
      <c r="AS1011" s="1582"/>
      <c r="AT1011" s="1582"/>
      <c r="AU1011" s="1582"/>
      <c r="AV1011" s="1582"/>
      <c r="AW1011" s="1582"/>
      <c r="AX1011" s="1582"/>
      <c r="AY1011" s="1582"/>
      <c r="CR1011" s="25"/>
    </row>
    <row r="1012" spans="1:96" s="718" customFormat="1" ht="12.75" customHeight="1">
      <c r="A1012" s="51"/>
      <c r="B1012" s="110"/>
      <c r="C1012" s="111"/>
      <c r="D1012" s="2461" t="s">
        <v>2173</v>
      </c>
      <c r="E1012" s="2462"/>
      <c r="F1012" s="2462"/>
      <c r="G1012" s="2462"/>
      <c r="H1012" s="2462"/>
      <c r="I1012" s="2462"/>
      <c r="J1012" s="2462"/>
      <c r="K1012" s="2462"/>
      <c r="L1012" s="2462"/>
      <c r="M1012" s="2462"/>
      <c r="N1012" s="2462"/>
      <c r="O1012" s="2462"/>
      <c r="P1012" s="2462"/>
      <c r="Q1012" s="2462"/>
      <c r="R1012" s="2462"/>
      <c r="S1012" s="2462"/>
      <c r="T1012" s="2462"/>
      <c r="U1012" s="2462"/>
      <c r="V1012" s="2462"/>
      <c r="W1012" s="2462"/>
      <c r="X1012" s="2462"/>
      <c r="Y1012" s="2462"/>
      <c r="Z1012" s="2462"/>
      <c r="AA1012" s="2462"/>
      <c r="AB1012" s="2462"/>
      <c r="AC1012" s="2462"/>
      <c r="AD1012" s="2462"/>
      <c r="AE1012" s="2463"/>
      <c r="AF1012" s="1612"/>
      <c r="AG1012" s="1613"/>
      <c r="AH1012" s="1613"/>
      <c r="AI1012" s="1614"/>
      <c r="AJ1012" s="2470"/>
      <c r="AK1012" s="2154"/>
      <c r="AL1012" s="2154"/>
      <c r="AM1012" s="2154"/>
      <c r="AN1012" s="2154"/>
      <c r="AO1012" s="2154"/>
      <c r="AP1012" s="2154"/>
      <c r="AQ1012" s="2471"/>
      <c r="AR1012" s="1582"/>
      <c r="AS1012" s="1582"/>
      <c r="AT1012" s="1582"/>
      <c r="AU1012" s="1582"/>
      <c r="AV1012" s="1582"/>
      <c r="AW1012" s="1582"/>
      <c r="AX1012" s="1582"/>
      <c r="AY1012" s="1582"/>
      <c r="CR1012" s="25"/>
    </row>
    <row r="1013" spans="1:96" s="718" customFormat="1" ht="12.75" customHeight="1">
      <c r="A1013" s="51"/>
      <c r="B1013" s="110"/>
      <c r="C1013" s="111"/>
      <c r="D1013" s="2461"/>
      <c r="E1013" s="2462"/>
      <c r="F1013" s="2462"/>
      <c r="G1013" s="2462"/>
      <c r="H1013" s="2462"/>
      <c r="I1013" s="2462"/>
      <c r="J1013" s="2462"/>
      <c r="K1013" s="2462"/>
      <c r="L1013" s="2462"/>
      <c r="M1013" s="2462"/>
      <c r="N1013" s="2462"/>
      <c r="O1013" s="2462"/>
      <c r="P1013" s="2462"/>
      <c r="Q1013" s="2462"/>
      <c r="R1013" s="2462"/>
      <c r="S1013" s="2462"/>
      <c r="T1013" s="2462"/>
      <c r="U1013" s="2462"/>
      <c r="V1013" s="2462"/>
      <c r="W1013" s="2462"/>
      <c r="X1013" s="2462"/>
      <c r="Y1013" s="2462"/>
      <c r="Z1013" s="2462"/>
      <c r="AA1013" s="2462"/>
      <c r="AB1013" s="2462"/>
      <c r="AC1013" s="2462"/>
      <c r="AD1013" s="2462"/>
      <c r="AE1013" s="2463"/>
      <c r="AF1013" s="1612"/>
      <c r="AG1013" s="1613"/>
      <c r="AH1013" s="1613"/>
      <c r="AI1013" s="1614"/>
      <c r="AJ1013" s="2470"/>
      <c r="AK1013" s="2154"/>
      <c r="AL1013" s="2154"/>
      <c r="AM1013" s="2154"/>
      <c r="AN1013" s="2154"/>
      <c r="AO1013" s="2154"/>
      <c r="AP1013" s="2154"/>
      <c r="AQ1013" s="2471"/>
      <c r="AR1013" s="1582"/>
      <c r="AS1013" s="1582"/>
      <c r="AT1013" s="1582"/>
      <c r="AU1013" s="1582"/>
      <c r="AV1013" s="1582"/>
      <c r="AW1013" s="1582"/>
      <c r="AX1013" s="1582"/>
      <c r="AY1013" s="1582"/>
      <c r="CR1013" s="25"/>
    </row>
    <row r="1014" spans="1:96" s="718" customFormat="1" ht="12.75" customHeight="1">
      <c r="A1014" s="51"/>
      <c r="B1014" s="110"/>
      <c r="C1014" s="111"/>
      <c r="D1014" s="2464"/>
      <c r="E1014" s="2465"/>
      <c r="F1014" s="2465"/>
      <c r="G1014" s="2465"/>
      <c r="H1014" s="2465"/>
      <c r="I1014" s="2465"/>
      <c r="J1014" s="2465"/>
      <c r="K1014" s="2465"/>
      <c r="L1014" s="2465"/>
      <c r="M1014" s="2465"/>
      <c r="N1014" s="2465"/>
      <c r="O1014" s="2465"/>
      <c r="P1014" s="2465"/>
      <c r="Q1014" s="2465"/>
      <c r="R1014" s="2465"/>
      <c r="S1014" s="2465"/>
      <c r="T1014" s="2465"/>
      <c r="U1014" s="2465"/>
      <c r="V1014" s="2465"/>
      <c r="W1014" s="2465"/>
      <c r="X1014" s="2465"/>
      <c r="Y1014" s="2465"/>
      <c r="Z1014" s="2465"/>
      <c r="AA1014" s="2465"/>
      <c r="AB1014" s="2465"/>
      <c r="AC1014" s="2465"/>
      <c r="AD1014" s="2465"/>
      <c r="AE1014" s="2466"/>
      <c r="AF1014" s="1615"/>
      <c r="AG1014" s="1616"/>
      <c r="AH1014" s="1616"/>
      <c r="AI1014" s="1617"/>
      <c r="AJ1014" s="2472"/>
      <c r="AK1014" s="2473"/>
      <c r="AL1014" s="2473"/>
      <c r="AM1014" s="2473"/>
      <c r="AN1014" s="2473"/>
      <c r="AO1014" s="2473"/>
      <c r="AP1014" s="2473"/>
      <c r="AQ1014" s="2474"/>
      <c r="AR1014" s="1582"/>
      <c r="AS1014" s="1582"/>
      <c r="AT1014" s="1582"/>
      <c r="AU1014" s="1582"/>
      <c r="AV1014" s="1582"/>
      <c r="AW1014" s="1582"/>
      <c r="AX1014" s="1582"/>
      <c r="AY1014" s="1582"/>
      <c r="CR1014" s="25"/>
    </row>
    <row r="1015" spans="1:96" s="718" customFormat="1" ht="12.75" customHeight="1">
      <c r="A1015" s="51"/>
      <c r="B1015" s="110"/>
      <c r="C1015" s="530" t="s">
        <v>724</v>
      </c>
      <c r="D1015" s="2478" t="s">
        <v>2174</v>
      </c>
      <c r="E1015" s="2479"/>
      <c r="F1015" s="2479"/>
      <c r="G1015" s="2479"/>
      <c r="H1015" s="2479"/>
      <c r="I1015" s="2479"/>
      <c r="J1015" s="2479"/>
      <c r="K1015" s="2479"/>
      <c r="L1015" s="2479"/>
      <c r="M1015" s="2479"/>
      <c r="N1015" s="2479"/>
      <c r="O1015" s="2479"/>
      <c r="P1015" s="2479"/>
      <c r="Q1015" s="2479"/>
      <c r="R1015" s="2479"/>
      <c r="S1015" s="2479"/>
      <c r="T1015" s="2479"/>
      <c r="U1015" s="2479"/>
      <c r="V1015" s="2479"/>
      <c r="W1015" s="2479"/>
      <c r="X1015" s="2479"/>
      <c r="Y1015" s="2479"/>
      <c r="Z1015" s="2479"/>
      <c r="AA1015" s="2479"/>
      <c r="AB1015" s="2479"/>
      <c r="AC1015" s="2479"/>
      <c r="AD1015" s="2479"/>
      <c r="AE1015" s="2480"/>
      <c r="AF1015" s="110"/>
      <c r="AG1015" s="2444" t="s">
        <v>705</v>
      </c>
      <c r="AH1015" s="2445"/>
      <c r="AI1015" s="121"/>
      <c r="AJ1015" s="2467">
        <f>ROUND(IF(AG1015="yes",(AJ975*0.1),0),0)</f>
        <v>0</v>
      </c>
      <c r="AK1015" s="2468"/>
      <c r="AL1015" s="2468"/>
      <c r="AM1015" s="2468"/>
      <c r="AN1015" s="2468"/>
      <c r="AO1015" s="2468"/>
      <c r="AP1015" s="2468"/>
      <c r="AQ1015" s="2469"/>
      <c r="AR1015" s="1582"/>
      <c r="AS1015" s="1582"/>
      <c r="AT1015" s="1582"/>
      <c r="AU1015" s="1582"/>
      <c r="AV1015" s="1582"/>
      <c r="AW1015" s="1582"/>
      <c r="AX1015" s="1582"/>
      <c r="AY1015" s="1582"/>
      <c r="CR1015" s="25"/>
    </row>
    <row r="1016" spans="1:96" s="718" customFormat="1" ht="12.75" customHeight="1">
      <c r="A1016" s="51"/>
      <c r="B1016" s="110"/>
      <c r="C1016" s="111"/>
      <c r="D1016" s="2461" t="s">
        <v>2175</v>
      </c>
      <c r="E1016" s="2462"/>
      <c r="F1016" s="2462"/>
      <c r="G1016" s="2462"/>
      <c r="H1016" s="2462"/>
      <c r="I1016" s="2462"/>
      <c r="J1016" s="2462"/>
      <c r="K1016" s="2462"/>
      <c r="L1016" s="2462"/>
      <c r="M1016" s="2462"/>
      <c r="N1016" s="2462"/>
      <c r="O1016" s="2462"/>
      <c r="P1016" s="2462"/>
      <c r="Q1016" s="2462"/>
      <c r="R1016" s="2462"/>
      <c r="S1016" s="2462"/>
      <c r="T1016" s="2462"/>
      <c r="U1016" s="2462"/>
      <c r="V1016" s="2462"/>
      <c r="W1016" s="2462"/>
      <c r="X1016" s="2462"/>
      <c r="Y1016" s="2462"/>
      <c r="Z1016" s="2462"/>
      <c r="AA1016" s="2462"/>
      <c r="AB1016" s="2462"/>
      <c r="AC1016" s="2462"/>
      <c r="AD1016" s="2462"/>
      <c r="AE1016" s="2463"/>
      <c r="AF1016" s="110"/>
      <c r="AG1016" s="112"/>
      <c r="AH1016" s="112"/>
      <c r="AI1016" s="121"/>
      <c r="AJ1016" s="2470"/>
      <c r="AK1016" s="2154"/>
      <c r="AL1016" s="2154"/>
      <c r="AM1016" s="2154"/>
      <c r="AN1016" s="2154"/>
      <c r="AO1016" s="2154"/>
      <c r="AP1016" s="2154"/>
      <c r="AQ1016" s="2471"/>
      <c r="AR1016" s="1582"/>
      <c r="AS1016" s="1582"/>
      <c r="AT1016" s="1582"/>
      <c r="AU1016" s="1582"/>
      <c r="AV1016" s="1582"/>
      <c r="AW1016" s="1582"/>
      <c r="AX1016" s="1582"/>
      <c r="AY1016" s="1582"/>
      <c r="CR1016" s="25"/>
    </row>
    <row r="1017" spans="1:96" s="718" customFormat="1" ht="12.75" customHeight="1">
      <c r="A1017" s="51"/>
      <c r="B1017" s="110"/>
      <c r="C1017" s="111"/>
      <c r="D1017" s="2461"/>
      <c r="E1017" s="2462"/>
      <c r="F1017" s="2462"/>
      <c r="G1017" s="2462"/>
      <c r="H1017" s="2462"/>
      <c r="I1017" s="2462"/>
      <c r="J1017" s="2462"/>
      <c r="K1017" s="2462"/>
      <c r="L1017" s="2462"/>
      <c r="M1017" s="2462"/>
      <c r="N1017" s="2462"/>
      <c r="O1017" s="2462"/>
      <c r="P1017" s="2462"/>
      <c r="Q1017" s="2462"/>
      <c r="R1017" s="2462"/>
      <c r="S1017" s="2462"/>
      <c r="T1017" s="2462"/>
      <c r="U1017" s="2462"/>
      <c r="V1017" s="2462"/>
      <c r="W1017" s="2462"/>
      <c r="X1017" s="2462"/>
      <c r="Y1017" s="2462"/>
      <c r="Z1017" s="2462"/>
      <c r="AA1017" s="2462"/>
      <c r="AB1017" s="2462"/>
      <c r="AC1017" s="2462"/>
      <c r="AD1017" s="2462"/>
      <c r="AE1017" s="2463"/>
      <c r="AF1017" s="110"/>
      <c r="AG1017" s="112"/>
      <c r="AH1017" s="112"/>
      <c r="AI1017" s="121"/>
      <c r="AJ1017" s="2470"/>
      <c r="AK1017" s="2154"/>
      <c r="AL1017" s="2154"/>
      <c r="AM1017" s="2154"/>
      <c r="AN1017" s="2154"/>
      <c r="AO1017" s="2154"/>
      <c r="AP1017" s="2154"/>
      <c r="AQ1017" s="2471"/>
      <c r="AR1017" s="1582"/>
      <c r="AS1017" s="1582"/>
      <c r="AT1017" s="1582"/>
      <c r="AU1017" s="1582"/>
      <c r="AV1017" s="1582"/>
      <c r="AW1017" s="1582"/>
      <c r="AX1017" s="1582"/>
      <c r="AY1017" s="1582"/>
      <c r="CR1017" s="25"/>
    </row>
    <row r="1018" spans="1:96" s="718" customFormat="1" ht="12.75" customHeight="1">
      <c r="A1018" s="51"/>
      <c r="B1018" s="110"/>
      <c r="C1018" s="111"/>
      <c r="D1018" s="2461"/>
      <c r="E1018" s="2462"/>
      <c r="F1018" s="2462"/>
      <c r="G1018" s="2462"/>
      <c r="H1018" s="2462"/>
      <c r="I1018" s="2462"/>
      <c r="J1018" s="2462"/>
      <c r="K1018" s="2462"/>
      <c r="L1018" s="2462"/>
      <c r="M1018" s="2462"/>
      <c r="N1018" s="2462"/>
      <c r="O1018" s="2462"/>
      <c r="P1018" s="2462"/>
      <c r="Q1018" s="2462"/>
      <c r="R1018" s="2462"/>
      <c r="S1018" s="2462"/>
      <c r="T1018" s="2462"/>
      <c r="U1018" s="2462"/>
      <c r="V1018" s="2462"/>
      <c r="W1018" s="2462"/>
      <c r="X1018" s="2462"/>
      <c r="Y1018" s="2462"/>
      <c r="Z1018" s="2462"/>
      <c r="AA1018" s="2462"/>
      <c r="AB1018" s="2462"/>
      <c r="AC1018" s="2462"/>
      <c r="AD1018" s="2462"/>
      <c r="AE1018" s="2463"/>
      <c r="AF1018" s="110"/>
      <c r="AG1018" s="112"/>
      <c r="AH1018" s="112"/>
      <c r="AI1018" s="121"/>
      <c r="AJ1018" s="2470"/>
      <c r="AK1018" s="2154"/>
      <c r="AL1018" s="2154"/>
      <c r="AM1018" s="2154"/>
      <c r="AN1018" s="2154"/>
      <c r="AO1018" s="2154"/>
      <c r="AP1018" s="2154"/>
      <c r="AQ1018" s="2471"/>
      <c r="AR1018" s="1582"/>
      <c r="AS1018" s="1582"/>
      <c r="AT1018" s="1582"/>
      <c r="AU1018" s="1582"/>
      <c r="AV1018" s="1582"/>
      <c r="AW1018" s="1582"/>
      <c r="AX1018" s="1582"/>
      <c r="AY1018" s="1582"/>
      <c r="CR1018" s="25"/>
    </row>
    <row r="1019" spans="1:96" s="718" customFormat="1" ht="12.75" customHeight="1">
      <c r="A1019" s="51"/>
      <c r="B1019" s="110"/>
      <c r="C1019" s="111"/>
      <c r="D1019" s="2464"/>
      <c r="E1019" s="2465"/>
      <c r="F1019" s="2465"/>
      <c r="G1019" s="2465"/>
      <c r="H1019" s="2465"/>
      <c r="I1019" s="2465"/>
      <c r="J1019" s="2465"/>
      <c r="K1019" s="2465"/>
      <c r="L1019" s="2465"/>
      <c r="M1019" s="2465"/>
      <c r="N1019" s="2465"/>
      <c r="O1019" s="2465"/>
      <c r="P1019" s="2465"/>
      <c r="Q1019" s="2465"/>
      <c r="R1019" s="2465"/>
      <c r="S1019" s="2465"/>
      <c r="T1019" s="2465"/>
      <c r="U1019" s="2465"/>
      <c r="V1019" s="2465"/>
      <c r="W1019" s="2465"/>
      <c r="X1019" s="2465"/>
      <c r="Y1019" s="2465"/>
      <c r="Z1019" s="2465"/>
      <c r="AA1019" s="2465"/>
      <c r="AB1019" s="2465"/>
      <c r="AC1019" s="2465"/>
      <c r="AD1019" s="2465"/>
      <c r="AE1019" s="2466"/>
      <c r="AF1019" s="110"/>
      <c r="AG1019" s="112"/>
      <c r="AH1019" s="112"/>
      <c r="AI1019" s="121"/>
      <c r="AJ1019" s="2470"/>
      <c r="AK1019" s="2154"/>
      <c r="AL1019" s="2154"/>
      <c r="AM1019" s="2154"/>
      <c r="AN1019" s="2154"/>
      <c r="AO1019" s="2154"/>
      <c r="AP1019" s="2154"/>
      <c r="AQ1019" s="2471"/>
      <c r="AR1019" s="1582"/>
      <c r="AS1019" s="1582"/>
      <c r="AT1019" s="1582"/>
      <c r="AU1019" s="1582"/>
      <c r="AV1019" s="1582"/>
      <c r="AW1019" s="1582"/>
      <c r="AX1019" s="1582"/>
      <c r="AY1019" s="1582"/>
      <c r="CR1019" s="25"/>
    </row>
    <row r="1020" spans="1:96" s="718" customFormat="1" ht="12.75" customHeight="1">
      <c r="A1020" s="51"/>
      <c r="B1020" s="117"/>
      <c r="C1020" s="198" t="s">
        <v>1115</v>
      </c>
      <c r="D1020" s="2430" t="s">
        <v>1540</v>
      </c>
      <c r="E1020" s="2431"/>
      <c r="F1020" s="2431"/>
      <c r="G1020" s="2431"/>
      <c r="H1020" s="2431"/>
      <c r="I1020" s="2431"/>
      <c r="J1020" s="2431"/>
      <c r="K1020" s="2431"/>
      <c r="L1020" s="2431"/>
      <c r="M1020" s="2431"/>
      <c r="N1020" s="2431"/>
      <c r="O1020" s="2431"/>
      <c r="P1020" s="2431"/>
      <c r="Q1020" s="2431"/>
      <c r="R1020" s="2431"/>
      <c r="S1020" s="2431"/>
      <c r="T1020" s="2431"/>
      <c r="U1020" s="2431"/>
      <c r="V1020" s="2431"/>
      <c r="W1020" s="2431"/>
      <c r="X1020" s="2431"/>
      <c r="Y1020" s="2431"/>
      <c r="Z1020" s="2431"/>
      <c r="AA1020" s="2431"/>
      <c r="AB1020" s="2431"/>
      <c r="AC1020" s="2431"/>
      <c r="AD1020" s="2431"/>
      <c r="AE1020" s="2432"/>
      <c r="AF1020" s="117"/>
      <c r="AG1020" s="2442" t="s">
        <v>705</v>
      </c>
      <c r="AH1020" s="2443"/>
      <c r="AI1020" s="125"/>
      <c r="AJ1020" s="2467">
        <f>ROUND(IF(AG1020="yes",(AJ975*0.1),0),0)</f>
        <v>0</v>
      </c>
      <c r="AK1020" s="2468"/>
      <c r="AL1020" s="2468"/>
      <c r="AM1020" s="2468"/>
      <c r="AN1020" s="2468"/>
      <c r="AO1020" s="2468"/>
      <c r="AP1020" s="2468"/>
      <c r="AQ1020" s="2469"/>
      <c r="AR1020" s="1582"/>
      <c r="AS1020" s="1582"/>
      <c r="AT1020" s="1582"/>
      <c r="AU1020" s="1582"/>
      <c r="AV1020" s="1582"/>
      <c r="AW1020" s="1582"/>
      <c r="AX1020" s="1582"/>
      <c r="AY1020" s="1582"/>
      <c r="CR1020" s="25"/>
    </row>
    <row r="1021" spans="1:96" ht="12.75" customHeight="1">
      <c r="A1021" s="51"/>
      <c r="B1021" s="110"/>
      <c r="C1021" s="111"/>
      <c r="D1021" s="2433" t="s">
        <v>1541</v>
      </c>
      <c r="E1021" s="2434"/>
      <c r="F1021" s="2434"/>
      <c r="G1021" s="2434"/>
      <c r="H1021" s="2434"/>
      <c r="I1021" s="2434"/>
      <c r="J1021" s="2434"/>
      <c r="K1021" s="2434"/>
      <c r="L1021" s="2434"/>
      <c r="M1021" s="2434"/>
      <c r="N1021" s="2434"/>
      <c r="O1021" s="2434"/>
      <c r="P1021" s="2434"/>
      <c r="Q1021" s="2434"/>
      <c r="R1021" s="2434"/>
      <c r="S1021" s="2434"/>
      <c r="T1021" s="2434"/>
      <c r="U1021" s="2434"/>
      <c r="V1021" s="2434"/>
      <c r="W1021" s="2434"/>
      <c r="X1021" s="2434"/>
      <c r="Y1021" s="2434"/>
      <c r="Z1021" s="2434"/>
      <c r="AA1021" s="2434"/>
      <c r="AB1021" s="2434"/>
      <c r="AC1021" s="2434"/>
      <c r="AD1021" s="2434"/>
      <c r="AE1021" s="2435"/>
      <c r="AF1021" s="110"/>
      <c r="AG1021" s="112"/>
      <c r="AH1021" s="112"/>
      <c r="AI1021" s="121"/>
      <c r="AJ1021" s="2470"/>
      <c r="AK1021" s="2154"/>
      <c r="AL1021" s="2154"/>
      <c r="AM1021" s="2154"/>
      <c r="AN1021" s="2154"/>
      <c r="AO1021" s="2154"/>
      <c r="AP1021" s="2154"/>
      <c r="AQ1021" s="2471"/>
      <c r="AR1021" s="1582"/>
      <c r="AS1021" s="1582"/>
      <c r="AT1021" s="1582"/>
      <c r="AU1021" s="1582"/>
      <c r="AV1021" s="1582"/>
      <c r="AW1021" s="1582"/>
      <c r="AX1021" s="1582"/>
      <c r="AY1021" s="1582"/>
    </row>
    <row r="1022" spans="1:96" ht="12.75" customHeight="1">
      <c r="A1022" s="51"/>
      <c r="B1022" s="110"/>
      <c r="C1022" s="111"/>
      <c r="D1022" s="2433"/>
      <c r="E1022" s="2434"/>
      <c r="F1022" s="2434"/>
      <c r="G1022" s="2434"/>
      <c r="H1022" s="2434"/>
      <c r="I1022" s="2434"/>
      <c r="J1022" s="2434"/>
      <c r="K1022" s="2434"/>
      <c r="L1022" s="2434"/>
      <c r="M1022" s="2434"/>
      <c r="N1022" s="2434"/>
      <c r="O1022" s="2434"/>
      <c r="P1022" s="2434"/>
      <c r="Q1022" s="2434"/>
      <c r="R1022" s="2434"/>
      <c r="S1022" s="2434"/>
      <c r="T1022" s="2434"/>
      <c r="U1022" s="2434"/>
      <c r="V1022" s="2434"/>
      <c r="W1022" s="2434"/>
      <c r="X1022" s="2434"/>
      <c r="Y1022" s="2434"/>
      <c r="Z1022" s="2434"/>
      <c r="AA1022" s="2434"/>
      <c r="AB1022" s="2434"/>
      <c r="AC1022" s="2434"/>
      <c r="AD1022" s="2434"/>
      <c r="AE1022" s="2435"/>
      <c r="AF1022" s="110"/>
      <c r="AG1022" s="112"/>
      <c r="AH1022" s="112"/>
      <c r="AI1022" s="121"/>
      <c r="AJ1022" s="2470"/>
      <c r="AK1022" s="2154"/>
      <c r="AL1022" s="2154"/>
      <c r="AM1022" s="2154"/>
      <c r="AN1022" s="2154"/>
      <c r="AO1022" s="2154"/>
      <c r="AP1022" s="2154"/>
      <c r="AQ1022" s="2471"/>
      <c r="AR1022" s="1582"/>
      <c r="AS1022" s="1582"/>
      <c r="AT1022" s="1582"/>
      <c r="AU1022" s="1582"/>
      <c r="AV1022" s="1582"/>
      <c r="AW1022" s="1582"/>
      <c r="AX1022" s="1582"/>
      <c r="AY1022" s="1582"/>
    </row>
    <row r="1023" spans="1:96" s="681" customFormat="1" ht="12.75" customHeight="1">
      <c r="A1023" s="51"/>
      <c r="B1023" s="110"/>
      <c r="C1023" s="111"/>
      <c r="D1023" s="2446"/>
      <c r="E1023" s="2447"/>
      <c r="F1023" s="2447"/>
      <c r="G1023" s="2447"/>
      <c r="H1023" s="2447"/>
      <c r="I1023" s="2447"/>
      <c r="J1023" s="2447"/>
      <c r="K1023" s="2447"/>
      <c r="L1023" s="2447"/>
      <c r="M1023" s="2447"/>
      <c r="N1023" s="2447"/>
      <c r="O1023" s="2447"/>
      <c r="P1023" s="2447"/>
      <c r="Q1023" s="2447"/>
      <c r="R1023" s="2447"/>
      <c r="S1023" s="2447"/>
      <c r="T1023" s="2447"/>
      <c r="U1023" s="2447"/>
      <c r="V1023" s="2447"/>
      <c r="W1023" s="2447"/>
      <c r="X1023" s="2447"/>
      <c r="Y1023" s="2447"/>
      <c r="Z1023" s="2447"/>
      <c r="AA1023" s="2447"/>
      <c r="AB1023" s="2447"/>
      <c r="AC1023" s="2447"/>
      <c r="AD1023" s="2447"/>
      <c r="AE1023" s="2448"/>
      <c r="AF1023" s="110"/>
      <c r="AG1023" s="112"/>
      <c r="AH1023" s="112"/>
      <c r="AI1023" s="121"/>
      <c r="AJ1023" s="2472"/>
      <c r="AK1023" s="2473"/>
      <c r="AL1023" s="2473"/>
      <c r="AM1023" s="2473"/>
      <c r="AN1023" s="2473"/>
      <c r="AO1023" s="2473"/>
      <c r="AP1023" s="2473"/>
      <c r="AQ1023" s="2474"/>
      <c r="AR1023" s="1582"/>
      <c r="AS1023" s="1582"/>
      <c r="AT1023" s="1582"/>
      <c r="AU1023" s="1582"/>
      <c r="AV1023" s="1582"/>
      <c r="AW1023" s="1582"/>
      <c r="AX1023" s="1582"/>
      <c r="AY1023" s="1582"/>
      <c r="CR1023" s="25"/>
    </row>
    <row r="1024" spans="1:96" ht="12.75" customHeight="1">
      <c r="A1024" s="51"/>
      <c r="B1024" s="117"/>
      <c r="C1024" s="198" t="s">
        <v>2170</v>
      </c>
      <c r="D1024" s="2478" t="s">
        <v>2391</v>
      </c>
      <c r="E1024" s="2479"/>
      <c r="F1024" s="2479"/>
      <c r="G1024" s="2479"/>
      <c r="H1024" s="2479"/>
      <c r="I1024" s="2479"/>
      <c r="J1024" s="2479"/>
      <c r="K1024" s="2479"/>
      <c r="L1024" s="2479"/>
      <c r="M1024" s="2479"/>
      <c r="N1024" s="2479"/>
      <c r="O1024" s="2479"/>
      <c r="P1024" s="2479"/>
      <c r="Q1024" s="2479"/>
      <c r="R1024" s="2479"/>
      <c r="S1024" s="2479"/>
      <c r="T1024" s="2479"/>
      <c r="U1024" s="2479"/>
      <c r="V1024" s="2479"/>
      <c r="W1024" s="2479"/>
      <c r="X1024" s="2479"/>
      <c r="Y1024" s="2479"/>
      <c r="Z1024" s="2479"/>
      <c r="AA1024" s="2479"/>
      <c r="AB1024" s="2479"/>
      <c r="AC1024" s="2479"/>
      <c r="AD1024" s="2479"/>
      <c r="AE1024" s="2480"/>
      <c r="AF1024" s="117"/>
      <c r="AG1024" s="2440" t="str">
        <f>IF(X1027&gt;0,"Yes","No")</f>
        <v>Yes</v>
      </c>
      <c r="AH1024" s="2441"/>
      <c r="AI1024" s="125"/>
      <c r="AJ1024" s="2449">
        <f>IF((X1027=0),0,BA989*AJ975)</f>
        <v>13306783.299999999</v>
      </c>
      <c r="AK1024" s="2450"/>
      <c r="AL1024" s="2450"/>
      <c r="AM1024" s="2450"/>
      <c r="AN1024" s="2450"/>
      <c r="AO1024" s="2450"/>
      <c r="AP1024" s="2450"/>
      <c r="AQ1024" s="2451"/>
      <c r="AR1024" s="1582"/>
      <c r="AS1024" s="1582"/>
      <c r="AT1024" s="1582"/>
      <c r="AU1024" s="1582"/>
      <c r="AV1024" s="1582"/>
      <c r="AW1024" s="1582"/>
      <c r="AX1024" s="1582"/>
      <c r="AY1024" s="1582"/>
    </row>
    <row r="1025" spans="1:96" ht="12.75" customHeight="1">
      <c r="A1025" s="51"/>
      <c r="B1025" s="110"/>
      <c r="C1025" s="701"/>
      <c r="D1025" s="2433" t="s">
        <v>1543</v>
      </c>
      <c r="E1025" s="2434"/>
      <c r="F1025" s="2434"/>
      <c r="G1025" s="2434"/>
      <c r="H1025" s="2434"/>
      <c r="I1025" s="2434"/>
      <c r="J1025" s="2434"/>
      <c r="K1025" s="2434"/>
      <c r="L1025" s="2434"/>
      <c r="M1025" s="2434"/>
      <c r="N1025" s="2434"/>
      <c r="O1025" s="2434"/>
      <c r="P1025" s="2434"/>
      <c r="Q1025" s="2434"/>
      <c r="R1025" s="2434"/>
      <c r="S1025" s="2434"/>
      <c r="T1025" s="2434"/>
      <c r="U1025" s="2434"/>
      <c r="V1025" s="2434"/>
      <c r="W1025" s="2434"/>
      <c r="X1025" s="2434"/>
      <c r="Y1025" s="2434"/>
      <c r="Z1025" s="2434"/>
      <c r="AA1025" s="2434"/>
      <c r="AB1025" s="2434"/>
      <c r="AC1025" s="2434"/>
      <c r="AD1025" s="2434"/>
      <c r="AE1025" s="2435"/>
      <c r="AF1025" s="110"/>
      <c r="AG1025" s="702"/>
      <c r="AH1025" s="702"/>
      <c r="AI1025" s="121"/>
      <c r="AJ1025" s="2452"/>
      <c r="AK1025" s="2453"/>
      <c r="AL1025" s="2453"/>
      <c r="AM1025" s="2453"/>
      <c r="AN1025" s="2453"/>
      <c r="AO1025" s="2453"/>
      <c r="AP1025" s="2453"/>
      <c r="AQ1025" s="2454"/>
      <c r="AR1025" s="1582"/>
      <c r="AS1025" s="1582"/>
      <c r="AT1025" s="1582"/>
      <c r="AU1025" s="1582"/>
      <c r="AV1025" s="1582"/>
      <c r="AW1025" s="1582"/>
      <c r="AX1025" s="1582"/>
      <c r="AY1025" s="1582"/>
    </row>
    <row r="1026" spans="1:96" ht="12.75" customHeight="1">
      <c r="A1026" s="51"/>
      <c r="B1026" s="110"/>
      <c r="C1026" s="701"/>
      <c r="D1026" s="2433"/>
      <c r="E1026" s="2434"/>
      <c r="F1026" s="2434"/>
      <c r="G1026" s="2434"/>
      <c r="H1026" s="2434"/>
      <c r="I1026" s="2434"/>
      <c r="J1026" s="2434"/>
      <c r="K1026" s="2434"/>
      <c r="L1026" s="2434"/>
      <c r="M1026" s="2434"/>
      <c r="N1026" s="2434"/>
      <c r="O1026" s="2434"/>
      <c r="P1026" s="2434"/>
      <c r="Q1026" s="2434"/>
      <c r="R1026" s="2434"/>
      <c r="S1026" s="2434"/>
      <c r="T1026" s="2434"/>
      <c r="U1026" s="2434"/>
      <c r="V1026" s="2434"/>
      <c r="W1026" s="2434"/>
      <c r="X1026" s="2434"/>
      <c r="Y1026" s="2434"/>
      <c r="Z1026" s="2434"/>
      <c r="AA1026" s="2434"/>
      <c r="AB1026" s="2434"/>
      <c r="AC1026" s="2434"/>
      <c r="AD1026" s="2434"/>
      <c r="AE1026" s="2435"/>
      <c r="AF1026" s="110"/>
      <c r="AG1026" s="702"/>
      <c r="AH1026" s="702"/>
      <c r="AI1026" s="121"/>
      <c r="AJ1026" s="2452"/>
      <c r="AK1026" s="2453"/>
      <c r="AL1026" s="2453"/>
      <c r="AM1026" s="2453"/>
      <c r="AN1026" s="2453"/>
      <c r="AO1026" s="2453"/>
      <c r="AP1026" s="2453"/>
      <c r="AQ1026" s="2454"/>
      <c r="AR1026" s="1582"/>
      <c r="AS1026" s="1582"/>
      <c r="AT1026" s="1582"/>
      <c r="AU1026" s="1582"/>
      <c r="AV1026" s="1582"/>
      <c r="AW1026" s="1582"/>
      <c r="AX1026" s="1582"/>
      <c r="AY1026" s="1582"/>
    </row>
    <row r="1027" spans="1:96" s="718" customFormat="1" ht="12.75" customHeight="1">
      <c r="A1027" s="51"/>
      <c r="B1027" s="115"/>
      <c r="C1027" s="116"/>
      <c r="D1027" s="199" t="s">
        <v>1049</v>
      </c>
      <c r="E1027" s="200"/>
      <c r="F1027" s="200"/>
      <c r="G1027" s="200"/>
      <c r="H1027" s="200"/>
      <c r="I1027" s="2438">
        <f>BA987</f>
        <v>64</v>
      </c>
      <c r="J1027" s="2439"/>
      <c r="K1027" s="11"/>
      <c r="L1027" s="200"/>
      <c r="M1027" s="200"/>
      <c r="N1027" s="200"/>
      <c r="O1027" s="200"/>
      <c r="P1027" s="200"/>
      <c r="Q1027" s="200"/>
      <c r="R1027" s="200"/>
      <c r="S1027" s="200"/>
      <c r="T1027" s="200"/>
      <c r="U1027" s="200"/>
      <c r="V1027" s="201" t="s">
        <v>1050</v>
      </c>
      <c r="W1027" s="80"/>
      <c r="X1027" s="2436">
        <f>BG635</f>
        <v>38</v>
      </c>
      <c r="Y1027" s="2437"/>
      <c r="Z1027" s="80"/>
      <c r="AA1027" s="80"/>
      <c r="AB1027" s="80"/>
      <c r="AC1027" s="80"/>
      <c r="AD1027" s="80"/>
      <c r="AE1027" s="81"/>
      <c r="AF1027" s="1621"/>
      <c r="AG1027" s="1622"/>
      <c r="AH1027" s="1622"/>
      <c r="AI1027" s="1623"/>
      <c r="AJ1027" s="2455"/>
      <c r="AK1027" s="2456"/>
      <c r="AL1027" s="2456"/>
      <c r="AM1027" s="2456"/>
      <c r="AN1027" s="2456"/>
      <c r="AO1027" s="2456"/>
      <c r="AP1027" s="2456"/>
      <c r="AQ1027" s="2457"/>
      <c r="AR1027" s="1582"/>
      <c r="AS1027" s="1582"/>
      <c r="AT1027" s="1582"/>
      <c r="AU1027" s="1582"/>
      <c r="AV1027" s="1582"/>
      <c r="AW1027" s="1582"/>
      <c r="AX1027" s="1582"/>
      <c r="AY1027" s="1582"/>
      <c r="CR1027" s="25"/>
    </row>
    <row r="1028" spans="1:96" ht="12.75" customHeight="1">
      <c r="A1028" s="51"/>
      <c r="B1028" s="117"/>
      <c r="C1028" s="198" t="s">
        <v>2171</v>
      </c>
      <c r="D1028" s="2430" t="s">
        <v>2392</v>
      </c>
      <c r="E1028" s="2431"/>
      <c r="F1028" s="2431"/>
      <c r="G1028" s="2431"/>
      <c r="H1028" s="2431"/>
      <c r="I1028" s="2431"/>
      <c r="J1028" s="2431"/>
      <c r="K1028" s="2431"/>
      <c r="L1028" s="2431"/>
      <c r="M1028" s="2431"/>
      <c r="N1028" s="2431"/>
      <c r="O1028" s="2431"/>
      <c r="P1028" s="2431"/>
      <c r="Q1028" s="2431"/>
      <c r="R1028" s="2431"/>
      <c r="S1028" s="2431"/>
      <c r="T1028" s="2431"/>
      <c r="U1028" s="2431"/>
      <c r="V1028" s="2431"/>
      <c r="W1028" s="2431"/>
      <c r="X1028" s="2431"/>
      <c r="Y1028" s="2431"/>
      <c r="Z1028" s="2431"/>
      <c r="AA1028" s="2431"/>
      <c r="AB1028" s="2431"/>
      <c r="AC1028" s="2431"/>
      <c r="AD1028" s="2431"/>
      <c r="AE1028" s="2432"/>
      <c r="AF1028" s="110"/>
      <c r="AG1028" s="2440" t="str">
        <f>IF(X1031&gt;0,"Yes","No")</f>
        <v>Yes</v>
      </c>
      <c r="AH1028" s="2441"/>
      <c r="AI1028" s="121"/>
      <c r="AJ1028" s="2449">
        <f>IF((X1031=0),0,(2*BA990)*AJ975)</f>
        <v>9021548</v>
      </c>
      <c r="AK1028" s="2450"/>
      <c r="AL1028" s="2450"/>
      <c r="AM1028" s="2450"/>
      <c r="AN1028" s="2450"/>
      <c r="AO1028" s="2450"/>
      <c r="AP1028" s="2450"/>
      <c r="AQ1028" s="2451"/>
      <c r="AR1028" s="1582"/>
      <c r="AS1028" s="1582"/>
      <c r="AT1028" s="1582"/>
      <c r="AU1028" s="1582"/>
      <c r="AV1028" s="1582"/>
      <c r="AW1028" s="1582"/>
      <c r="AX1028" s="1582"/>
      <c r="AY1028" s="1582"/>
    </row>
    <row r="1029" spans="1:96" ht="12.75" customHeight="1">
      <c r="A1029" s="51"/>
      <c r="B1029" s="110"/>
      <c r="C1029" s="701"/>
      <c r="D1029" s="2433" t="s">
        <v>1542</v>
      </c>
      <c r="E1029" s="2434"/>
      <c r="F1029" s="2434"/>
      <c r="G1029" s="2434"/>
      <c r="H1029" s="2434"/>
      <c r="I1029" s="2434"/>
      <c r="J1029" s="2434"/>
      <c r="K1029" s="2434"/>
      <c r="L1029" s="2434"/>
      <c r="M1029" s="2434"/>
      <c r="N1029" s="2434"/>
      <c r="O1029" s="2434"/>
      <c r="P1029" s="2434"/>
      <c r="Q1029" s="2434"/>
      <c r="R1029" s="2434"/>
      <c r="S1029" s="2434"/>
      <c r="T1029" s="2434"/>
      <c r="U1029" s="2434"/>
      <c r="V1029" s="2434"/>
      <c r="W1029" s="2434"/>
      <c r="X1029" s="2434"/>
      <c r="Y1029" s="2434"/>
      <c r="Z1029" s="2434"/>
      <c r="AA1029" s="2434"/>
      <c r="AB1029" s="2434"/>
      <c r="AC1029" s="2434"/>
      <c r="AD1029" s="2434"/>
      <c r="AE1029" s="2435"/>
      <c r="AF1029" s="110"/>
      <c r="AG1029" s="702"/>
      <c r="AH1029" s="702"/>
      <c r="AI1029" s="121"/>
      <c r="AJ1029" s="2452"/>
      <c r="AK1029" s="2453"/>
      <c r="AL1029" s="2453"/>
      <c r="AM1029" s="2453"/>
      <c r="AN1029" s="2453"/>
      <c r="AO1029" s="2453"/>
      <c r="AP1029" s="2453"/>
      <c r="AQ1029" s="2454"/>
      <c r="AR1029" s="1582"/>
      <c r="AS1029" s="1582"/>
      <c r="AT1029" s="1582"/>
      <c r="AU1029" s="1582"/>
      <c r="AV1029" s="1582"/>
      <c r="AW1029" s="1582"/>
      <c r="AX1029" s="1582"/>
      <c r="AY1029" s="1582"/>
    </row>
    <row r="1030" spans="1:96" ht="12.75" customHeight="1">
      <c r="A1030" s="51"/>
      <c r="B1030" s="110"/>
      <c r="C1030" s="121"/>
      <c r="D1030" s="2433"/>
      <c r="E1030" s="2434"/>
      <c r="F1030" s="2434"/>
      <c r="G1030" s="2434"/>
      <c r="H1030" s="2434"/>
      <c r="I1030" s="2434"/>
      <c r="J1030" s="2434"/>
      <c r="K1030" s="2434"/>
      <c r="L1030" s="2434"/>
      <c r="M1030" s="2434"/>
      <c r="N1030" s="2434"/>
      <c r="O1030" s="2434"/>
      <c r="P1030" s="2434"/>
      <c r="Q1030" s="2434"/>
      <c r="R1030" s="2434"/>
      <c r="S1030" s="2434"/>
      <c r="T1030" s="2434"/>
      <c r="U1030" s="2434"/>
      <c r="V1030" s="2434"/>
      <c r="W1030" s="2434"/>
      <c r="X1030" s="2434"/>
      <c r="Y1030" s="2434"/>
      <c r="Z1030" s="2434"/>
      <c r="AA1030" s="2434"/>
      <c r="AB1030" s="2434"/>
      <c r="AC1030" s="2434"/>
      <c r="AD1030" s="2434"/>
      <c r="AE1030" s="2435"/>
      <c r="AF1030" s="1618"/>
      <c r="AG1030" s="1619"/>
      <c r="AH1030" s="1619"/>
      <c r="AI1030" s="1620"/>
      <c r="AJ1030" s="2452"/>
      <c r="AK1030" s="2453"/>
      <c r="AL1030" s="2453"/>
      <c r="AM1030" s="2453"/>
      <c r="AN1030" s="2453"/>
      <c r="AO1030" s="2453"/>
      <c r="AP1030" s="2453"/>
      <c r="AQ1030" s="2454"/>
      <c r="AR1030" s="1582"/>
      <c r="AS1030" s="1582"/>
      <c r="AT1030" s="1582"/>
      <c r="AU1030" s="1582"/>
      <c r="AV1030" s="1582"/>
      <c r="AW1030" s="1582"/>
      <c r="AX1030" s="1582"/>
      <c r="AY1030" s="1582"/>
    </row>
    <row r="1031" spans="1:96" s="718" customFormat="1" ht="12.75" customHeight="1">
      <c r="A1031" s="51"/>
      <c r="B1031" s="115"/>
      <c r="C1031" s="116"/>
      <c r="D1031" s="199" t="s">
        <v>1049</v>
      </c>
      <c r="E1031" s="200"/>
      <c r="F1031" s="200"/>
      <c r="G1031" s="200"/>
      <c r="H1031" s="200"/>
      <c r="I1031" s="2438">
        <f>BA987</f>
        <v>64</v>
      </c>
      <c r="J1031" s="2439"/>
      <c r="K1031" s="51"/>
      <c r="L1031" s="200"/>
      <c r="M1031" s="200"/>
      <c r="N1031" s="200"/>
      <c r="O1031" s="200"/>
      <c r="P1031" s="200"/>
      <c r="Q1031" s="200"/>
      <c r="R1031" s="200"/>
      <c r="S1031" s="200"/>
      <c r="T1031" s="200"/>
      <c r="U1031" s="200"/>
      <c r="V1031" s="201" t="s">
        <v>1051</v>
      </c>
      <c r="X1031" s="2436">
        <f>BK635</f>
        <v>13</v>
      </c>
      <c r="Y1031" s="2437"/>
      <c r="AF1031" s="1621"/>
      <c r="AG1031" s="1622"/>
      <c r="AH1031" s="1622"/>
      <c r="AI1031" s="1623"/>
      <c r="AJ1031" s="2455"/>
      <c r="AK1031" s="2456"/>
      <c r="AL1031" s="2456"/>
      <c r="AM1031" s="2456"/>
      <c r="AN1031" s="2456"/>
      <c r="AO1031" s="2456"/>
      <c r="AP1031" s="2456"/>
      <c r="AQ1031" s="2457"/>
      <c r="AR1031" s="1582"/>
      <c r="AS1031" s="1582"/>
      <c r="AT1031" s="1582"/>
      <c r="AU1031" s="1582"/>
      <c r="AV1031" s="1582"/>
      <c r="AW1031" s="1582"/>
      <c r="AX1031" s="1582"/>
      <c r="AY1031" s="1582"/>
      <c r="CR1031" s="25"/>
    </row>
    <row r="1032" spans="1:96" ht="12.75" customHeight="1">
      <c r="A1032" s="51"/>
      <c r="B1032" s="158"/>
      <c r="C1032" s="159"/>
      <c r="D1032" s="2428" t="s">
        <v>545</v>
      </c>
      <c r="E1032" s="2428"/>
      <c r="F1032" s="2428"/>
      <c r="G1032" s="2428"/>
      <c r="H1032" s="2428"/>
      <c r="I1032" s="2428"/>
      <c r="J1032" s="2428"/>
      <c r="K1032" s="2428"/>
      <c r="L1032" s="2428"/>
      <c r="M1032" s="2428"/>
      <c r="N1032" s="2428"/>
      <c r="O1032" s="2428"/>
      <c r="P1032" s="2428"/>
      <c r="Q1032" s="2428"/>
      <c r="R1032" s="2428"/>
      <c r="S1032" s="2428"/>
      <c r="T1032" s="2428"/>
      <c r="U1032" s="2428"/>
      <c r="V1032" s="2428"/>
      <c r="W1032" s="2428"/>
      <c r="X1032" s="2428"/>
      <c r="Y1032" s="2428"/>
      <c r="Z1032" s="2428"/>
      <c r="AA1032" s="2428"/>
      <c r="AB1032" s="2428"/>
      <c r="AC1032" s="2428"/>
      <c r="AD1032" s="2428"/>
      <c r="AE1032" s="2428"/>
      <c r="AF1032" s="2428"/>
      <c r="AG1032" s="2428"/>
      <c r="AH1032" s="2428"/>
      <c r="AI1032" s="2429"/>
      <c r="AJ1032" s="2458">
        <f>SUM(AJ975:AQ1031)</f>
        <v>45693163.390000001</v>
      </c>
      <c r="AK1032" s="2459"/>
      <c r="AL1032" s="2459"/>
      <c r="AM1032" s="2459"/>
      <c r="AN1032" s="2459"/>
      <c r="AO1032" s="2459"/>
      <c r="AP1032" s="2459"/>
      <c r="AQ1032" s="2460"/>
      <c r="AR1032" s="1582"/>
      <c r="AS1032" s="1582"/>
      <c r="AT1032" s="1582"/>
      <c r="AU1032" s="1582"/>
      <c r="AV1032" s="1582"/>
      <c r="AW1032" s="1582"/>
      <c r="AX1032" s="1582"/>
      <c r="AY1032" s="1582"/>
    </row>
    <row r="1033" spans="1:96" ht="12.75" customHeight="1">
      <c r="A1033" s="51"/>
      <c r="B1033" s="112"/>
      <c r="C1033" s="336"/>
      <c r="D1033" s="341"/>
      <c r="E1033" s="341"/>
      <c r="F1033" s="341"/>
      <c r="G1033" s="341"/>
      <c r="H1033" s="341"/>
      <c r="I1033" s="341"/>
      <c r="J1033" s="341"/>
      <c r="K1033" s="341"/>
      <c r="L1033" s="341"/>
      <c r="M1033" s="341"/>
      <c r="N1033" s="341"/>
      <c r="O1033" s="341"/>
      <c r="P1033" s="341"/>
      <c r="Q1033" s="341"/>
      <c r="R1033" s="341"/>
      <c r="S1033" s="341"/>
      <c r="T1033" s="337"/>
      <c r="U1033" s="337"/>
      <c r="V1033" s="337"/>
      <c r="W1033" s="337"/>
      <c r="X1033" s="337"/>
      <c r="Y1033" s="337"/>
      <c r="Z1033" s="337"/>
      <c r="AA1033" s="337"/>
      <c r="AB1033" s="337"/>
      <c r="AC1033" s="337"/>
      <c r="AD1033" s="334"/>
      <c r="AE1033" s="334"/>
      <c r="AF1033" s="334"/>
      <c r="AG1033" s="334"/>
      <c r="AH1033" s="334"/>
      <c r="AI1033" s="334"/>
      <c r="AJ1033" s="334"/>
      <c r="AK1033" s="334"/>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19" t="s">
        <v>1929</v>
      </c>
      <c r="C1034" s="2119"/>
      <c r="D1034" s="2119"/>
      <c r="E1034" s="2119"/>
      <c r="F1034" s="2119"/>
      <c r="G1034" s="2119"/>
      <c r="H1034" s="2119"/>
      <c r="I1034" s="2119"/>
      <c r="J1034" s="2119"/>
      <c r="K1034" s="2119"/>
      <c r="L1034" s="2119"/>
      <c r="M1034" s="2119"/>
      <c r="N1034" s="2119"/>
      <c r="O1034" s="2119"/>
      <c r="P1034" s="2119"/>
      <c r="Q1034" s="2119"/>
      <c r="R1034" s="2119"/>
      <c r="S1034" s="2119"/>
      <c r="T1034" s="2119"/>
      <c r="U1034" s="2119"/>
      <c r="V1034" s="2119"/>
      <c r="W1034" s="2119"/>
      <c r="X1034" s="2119"/>
      <c r="Y1034" s="2119"/>
      <c r="Z1034" s="342"/>
      <c r="AA1034" s="342"/>
      <c r="AB1034" s="342"/>
      <c r="AC1034" s="342"/>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1930</v>
      </c>
      <c r="C1035" s="336"/>
      <c r="D1035" s="343"/>
      <c r="E1035" s="344"/>
      <c r="F1035" s="344"/>
      <c r="G1035" s="344"/>
      <c r="H1035" s="344"/>
      <c r="I1035" s="344"/>
      <c r="J1035" s="344"/>
      <c r="K1035" s="344"/>
      <c r="L1035" s="344"/>
      <c r="M1035" s="344"/>
      <c r="N1035" s="344"/>
      <c r="O1035" s="344"/>
      <c r="P1035" s="344"/>
      <c r="Q1035" s="344"/>
      <c r="R1035" s="344"/>
      <c r="S1035" s="344"/>
      <c r="T1035" s="344"/>
      <c r="U1035" s="344"/>
      <c r="V1035" s="344"/>
      <c r="W1035" s="344"/>
      <c r="X1035" s="2380"/>
      <c r="Y1035" s="2380"/>
      <c r="Z1035" s="2380"/>
      <c r="AA1035" s="2380"/>
      <c r="AB1035" s="2380"/>
      <c r="AC1035" s="2380"/>
      <c r="AD1035" s="2141">
        <f>R971</f>
        <v>318400</v>
      </c>
      <c r="AE1035" s="2142"/>
      <c r="AF1035" s="2142"/>
      <c r="AG1035" s="2142"/>
      <c r="AH1035" s="2142"/>
      <c r="AI1035" s="2142"/>
      <c r="AJ1035" s="2142"/>
      <c r="AK1035" s="2142"/>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2489</v>
      </c>
      <c r="C1036" s="336"/>
      <c r="D1036" s="343"/>
      <c r="E1036" s="343"/>
      <c r="F1036" s="344"/>
      <c r="G1036" s="344"/>
      <c r="H1036" s="344"/>
      <c r="I1036" s="344"/>
      <c r="J1036" s="344"/>
      <c r="K1036" s="344"/>
      <c r="L1036" s="344"/>
      <c r="M1036" s="344"/>
      <c r="N1036" s="344"/>
      <c r="O1036" s="344"/>
      <c r="P1036" s="344"/>
      <c r="Q1036" s="344"/>
      <c r="R1036" s="344"/>
      <c r="S1036" s="344"/>
      <c r="T1036" s="344"/>
      <c r="U1036" s="344"/>
      <c r="V1036" s="344"/>
      <c r="W1036" s="344"/>
      <c r="X1036" s="2386"/>
      <c r="Y1036" s="2386"/>
      <c r="Z1036" s="2386"/>
      <c r="AA1036" s="2386"/>
      <c r="AB1036" s="2386"/>
      <c r="AC1036" s="2386"/>
      <c r="AD1036" s="2154">
        <f>MEDIAN((BR809:BR866))</f>
        <v>364800</v>
      </c>
      <c r="AE1036" s="2154"/>
      <c r="AF1036" s="2154"/>
      <c r="AG1036" s="2154"/>
      <c r="AH1036" s="2154"/>
      <c r="AI1036" s="2154"/>
      <c r="AJ1036" s="2154"/>
      <c r="AK1036" s="2154"/>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43" t="s">
        <v>1931</v>
      </c>
      <c r="C1037" s="2143"/>
      <c r="D1037" s="2143"/>
      <c r="E1037" s="2143"/>
      <c r="F1037" s="2143"/>
      <c r="G1037" s="2143"/>
      <c r="H1037" s="2143"/>
      <c r="I1037" s="2143"/>
      <c r="J1037" s="2143"/>
      <c r="K1037" s="2143"/>
      <c r="L1037" s="2143"/>
      <c r="M1037" s="2143"/>
      <c r="N1037" s="2143"/>
      <c r="O1037" s="2143"/>
      <c r="P1037" s="2143"/>
      <c r="Q1037" s="2143"/>
      <c r="R1037" s="2143"/>
      <c r="S1037" s="2143"/>
      <c r="T1037" s="2143"/>
      <c r="U1037" s="2143"/>
      <c r="V1037" s="2143"/>
      <c r="W1037" s="2143"/>
      <c r="X1037" s="2143"/>
      <c r="Y1037" s="2143"/>
      <c r="Z1037" s="1415"/>
      <c r="AA1037" s="1415"/>
      <c r="AB1037" s="1415"/>
      <c r="AC1037" s="1415"/>
      <c r="AD1037" s="2138">
        <f>IF(((AD1035-AD1036)/AD1036)&gt;0.3,0.3,((AD1035-AD1036)/AD1036))</f>
        <v>-0.12719298245614036</v>
      </c>
      <c r="AE1037" s="2139"/>
      <c r="AF1037" s="2139"/>
      <c r="AG1037" s="2139"/>
      <c r="AH1037" s="2139"/>
      <c r="AI1037" s="2139"/>
      <c r="AJ1037" s="2139"/>
      <c r="AK1037" s="2140"/>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6"/>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78">
        <f>IF(ISNA(IF((AJ999&gt;(AJ975*0.15)),"(f) cannot be greater than 15% of unadjusted eligible basis.",0)),"",(IF((AJ999&gt;(AJ975*0.15)),"(f) cannot be greater than 15% of unadjusted eligible basis.",0)))</f>
        <v>0</v>
      </c>
      <c r="C1039" s="2378"/>
      <c r="D1039" s="2378"/>
      <c r="E1039" s="2378"/>
      <c r="F1039" s="2378"/>
      <c r="G1039" s="2378"/>
      <c r="H1039" s="2378"/>
      <c r="I1039" s="2378"/>
      <c r="J1039" s="2378"/>
      <c r="K1039" s="2378"/>
      <c r="L1039" s="2378"/>
      <c r="M1039" s="2378"/>
      <c r="N1039" s="2378"/>
      <c r="O1039" s="2378"/>
      <c r="P1039" s="2378"/>
      <c r="Q1039" s="2378"/>
      <c r="R1039" s="2378"/>
      <c r="S1039" s="2378"/>
      <c r="T1039" s="2378"/>
      <c r="U1039" s="2378"/>
      <c r="V1039" s="2378"/>
      <c r="W1039" s="2378"/>
      <c r="X1039" s="2378"/>
      <c r="Y1039" s="2378"/>
      <c r="Z1039" s="2378"/>
      <c r="AA1039" s="2378"/>
      <c r="AB1039" s="2378"/>
      <c r="AC1039" s="2378"/>
      <c r="AD1039" s="2378"/>
      <c r="AE1039" s="2378"/>
      <c r="AF1039" s="2378"/>
      <c r="AG1039" s="2378"/>
      <c r="AH1039" s="2378"/>
      <c r="AI1039" s="2378"/>
      <c r="AJ1039" s="2378"/>
      <c r="AK1039" s="2378"/>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49" t="s">
        <v>851</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5"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5" t="s">
        <v>625</v>
      </c>
      <c r="B1044" s="2055"/>
      <c r="C1044" s="13">
        <v>1</v>
      </c>
      <c r="D1044" s="1885" t="s">
        <v>1221</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3"/>
      <c r="AN1044" s="1583"/>
      <c r="AO1044" s="1583"/>
      <c r="AP1044" s="1583"/>
      <c r="AQ1044" s="1583"/>
      <c r="AR1044" s="1583"/>
      <c r="AS1044" s="1583"/>
      <c r="AT1044" s="1583"/>
      <c r="AU1044" s="1583"/>
      <c r="AV1044" s="1583"/>
      <c r="AW1044" s="1583"/>
      <c r="AX1044" s="1583"/>
      <c r="AY1044" s="1583"/>
    </row>
    <row r="1045" spans="1:51" ht="12.6" customHeight="1">
      <c r="A1045" s="234"/>
      <c r="B1045" s="234"/>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3"/>
      <c r="AN1045" s="1583"/>
      <c r="AO1045" s="1583"/>
      <c r="AP1045" s="1583"/>
      <c r="AQ1045" s="1583"/>
      <c r="AR1045" s="1583"/>
      <c r="AS1045" s="1583"/>
      <c r="AT1045" s="1583"/>
      <c r="AU1045" s="1583"/>
      <c r="AV1045" s="1583"/>
      <c r="AW1045" s="1583"/>
      <c r="AX1045" s="1583"/>
      <c r="AY1045" s="1583"/>
    </row>
    <row r="1046" spans="1:51" ht="12.6" customHeight="1">
      <c r="A1046" s="234"/>
      <c r="B1046" s="234"/>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2"/>
      <c r="AN1046" s="1582"/>
      <c r="AO1046" s="1582"/>
      <c r="AP1046" s="1582"/>
      <c r="AQ1046" s="1582"/>
      <c r="AR1046" s="1582"/>
      <c r="AS1046" s="1582"/>
      <c r="AT1046" s="1582"/>
      <c r="AU1046" s="1582"/>
      <c r="AV1046" s="1582"/>
      <c r="AW1046" s="1582"/>
      <c r="AX1046" s="1582"/>
      <c r="AY1046" s="1582"/>
    </row>
    <row r="1047" spans="1:51" ht="12.6" customHeight="1">
      <c r="A1047" s="234"/>
      <c r="B1047" s="234"/>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2"/>
      <c r="AN1047" s="1582"/>
      <c r="AO1047" s="1582"/>
      <c r="AP1047" s="1582"/>
      <c r="AQ1047" s="1582"/>
      <c r="AR1047" s="1582"/>
      <c r="AS1047" s="1582"/>
      <c r="AT1047" s="1582"/>
      <c r="AU1047" s="1582"/>
      <c r="AV1047" s="1582"/>
      <c r="AW1047" s="1582"/>
      <c r="AX1047" s="1582"/>
      <c r="AY1047" s="1582"/>
    </row>
    <row r="1048" spans="1:51" ht="12.6" customHeight="1">
      <c r="A1048" s="234"/>
      <c r="B1048" s="234"/>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2"/>
      <c r="AN1049" s="1582"/>
      <c r="AO1049" s="1582"/>
      <c r="AP1049" s="1582"/>
      <c r="AQ1049" s="1582"/>
      <c r="AR1049" s="1582"/>
      <c r="AS1049" s="1582"/>
      <c r="AT1049" s="1582"/>
      <c r="AU1049" s="1582"/>
      <c r="AV1049" s="1582"/>
      <c r="AW1049" s="1582"/>
      <c r="AX1049" s="1582"/>
      <c r="AY1049" s="1582"/>
    </row>
    <row r="1050" spans="1:51" ht="12.6" customHeight="1">
      <c r="A1050" s="2055" t="s">
        <v>625</v>
      </c>
      <c r="B1050" s="2055"/>
      <c r="C1050" s="13">
        <v>2</v>
      </c>
      <c r="D1050" s="1885" t="s">
        <v>1220</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2"/>
      <c r="AN1050" s="1582"/>
      <c r="AO1050" s="1582"/>
      <c r="AP1050" s="1582"/>
      <c r="AQ1050" s="1582"/>
      <c r="AR1050" s="1582"/>
      <c r="AS1050" s="1582"/>
      <c r="AT1050" s="1582"/>
      <c r="AU1050" s="1582"/>
      <c r="AV1050" s="1582"/>
      <c r="AW1050" s="1582"/>
      <c r="AX1050" s="1582"/>
      <c r="AY1050" s="1582"/>
    </row>
    <row r="1051" spans="1:51" ht="12.6" customHeight="1">
      <c r="A1051" s="234"/>
      <c r="B1051" s="234"/>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2"/>
      <c r="AN1051" s="1582"/>
      <c r="AO1051" s="1582"/>
      <c r="AP1051" s="1582"/>
      <c r="AQ1051" s="1582"/>
      <c r="AR1051" s="1582"/>
      <c r="AS1051" s="1582"/>
      <c r="AT1051" s="1582"/>
      <c r="AU1051" s="1582"/>
      <c r="AV1051" s="1582"/>
      <c r="AW1051" s="1582"/>
      <c r="AX1051" s="1582"/>
      <c r="AY1051" s="1582"/>
    </row>
    <row r="1052" spans="1:51" ht="12.6" customHeight="1">
      <c r="A1052" s="234"/>
      <c r="B1052" s="234"/>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2"/>
      <c r="AN1052" s="1582"/>
      <c r="AO1052" s="1582"/>
      <c r="AP1052" s="1582"/>
      <c r="AQ1052" s="1582"/>
      <c r="AR1052" s="1582"/>
      <c r="AS1052" s="1582"/>
      <c r="AT1052" s="1582"/>
      <c r="AU1052" s="1582"/>
      <c r="AV1052" s="1582"/>
      <c r="AW1052" s="1582"/>
      <c r="AX1052" s="1582"/>
      <c r="AY1052" s="1582"/>
    </row>
    <row r="1053" spans="1:51" ht="12.6" customHeight="1">
      <c r="A1053" s="234"/>
      <c r="B1053" s="234"/>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2"/>
      <c r="AN1053" s="1582"/>
      <c r="AO1053" s="1582"/>
      <c r="AP1053" s="1582"/>
      <c r="AQ1053" s="1582"/>
      <c r="AR1053" s="1582"/>
      <c r="AS1053" s="1582"/>
      <c r="AT1053" s="1582"/>
      <c r="AU1053" s="1582"/>
      <c r="AV1053" s="1582"/>
      <c r="AW1053" s="1582"/>
      <c r="AX1053" s="1582"/>
      <c r="AY1053" s="1582"/>
    </row>
    <row r="1054" spans="1:51" ht="12.6" customHeight="1">
      <c r="A1054" s="234"/>
      <c r="B1054" s="234"/>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2"/>
      <c r="AN1054" s="1582"/>
      <c r="AO1054" s="1582"/>
      <c r="AP1054" s="1582"/>
      <c r="AQ1054" s="1582"/>
      <c r="AR1054" s="1582"/>
      <c r="AS1054" s="1582"/>
      <c r="AT1054" s="1582"/>
      <c r="AU1054" s="1582"/>
      <c r="AV1054" s="1582"/>
      <c r="AW1054" s="1582"/>
      <c r="AX1054" s="1582"/>
      <c r="AY1054" s="1582"/>
    </row>
    <row r="1055" spans="1:51" ht="12.6" customHeight="1">
      <c r="A1055" s="234"/>
      <c r="B1055" s="234"/>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55" t="s">
        <v>625</v>
      </c>
      <c r="B1056" s="2055"/>
      <c r="C1056" s="13">
        <v>3</v>
      </c>
      <c r="D1056" s="1885" t="s">
        <v>1525</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18"/>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18"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55" t="s">
        <v>625</v>
      </c>
      <c r="B1063" s="2055"/>
      <c r="C1063" s="13">
        <v>4</v>
      </c>
      <c r="D1063" s="1885" t="s">
        <v>1206</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4"/>
      <c r="B1064" s="234"/>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1" customFormat="1" ht="12.6" customHeight="1">
      <c r="A1066" s="2055" t="s">
        <v>625</v>
      </c>
      <c r="B1066" s="2055"/>
      <c r="C1066" s="13">
        <v>5</v>
      </c>
      <c r="D1066" s="1885" t="s">
        <v>1415</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4"/>
      <c r="B1067" s="234"/>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4"/>
      <c r="B1068" s="234"/>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4"/>
      <c r="B1069" s="234"/>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1"/>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55" t="s">
        <v>625</v>
      </c>
      <c r="B1071" s="2055"/>
      <c r="C1071" s="13">
        <v>6</v>
      </c>
      <c r="D1071" s="1885" t="s">
        <v>1207</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6"/>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55" t="s">
        <v>625</v>
      </c>
      <c r="B1074" s="2055"/>
      <c r="C1074" s="317">
        <v>7</v>
      </c>
      <c r="D1074" s="1885" t="s">
        <v>1209</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0"/>
      <c r="AN1074" s="1510"/>
      <c r="AO1074" s="1510"/>
      <c r="AP1074" s="1510"/>
      <c r="AQ1074" s="1510"/>
      <c r="AR1074" s="1510"/>
      <c r="AS1074" s="1510"/>
      <c r="AT1074" s="1510"/>
      <c r="AU1074" s="1510"/>
      <c r="AV1074" s="1510"/>
      <c r="AW1074" s="1510"/>
      <c r="AX1074" s="1510"/>
      <c r="AY1074" s="1510"/>
    </row>
    <row r="1075" spans="1:96" ht="12.6" customHeight="1">
      <c r="A1075" s="234"/>
      <c r="B1075" s="234"/>
      <c r="C1075" s="318"/>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4"/>
      <c r="B1076" s="234"/>
      <c r="C1076" s="318"/>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1" customFormat="1" ht="12.6" customHeight="1">
      <c r="A1077" s="62"/>
      <c r="B1077" s="66"/>
      <c r="C1077" s="317"/>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55" t="s">
        <v>625</v>
      </c>
      <c r="B1078" s="2055"/>
      <c r="C1078" s="317">
        <v>8</v>
      </c>
      <c r="D1078" s="2379" t="s">
        <v>2166</v>
      </c>
      <c r="E1078" s="2379"/>
      <c r="F1078" s="2379"/>
      <c r="G1078" s="2379"/>
      <c r="H1078" s="2379"/>
      <c r="I1078" s="2379"/>
      <c r="J1078" s="2379"/>
      <c r="K1078" s="2379"/>
      <c r="L1078" s="2379"/>
      <c r="M1078" s="2379"/>
      <c r="N1078" s="2379"/>
      <c r="O1078" s="2379"/>
      <c r="P1078" s="2379"/>
      <c r="Q1078" s="2379"/>
      <c r="R1078" s="2379"/>
      <c r="S1078" s="2379"/>
      <c r="T1078" s="2379"/>
      <c r="U1078" s="2379"/>
      <c r="V1078" s="2379"/>
      <c r="W1078" s="2379"/>
      <c r="X1078" s="2379"/>
      <c r="Y1078" s="2379"/>
      <c r="Z1078" s="2379"/>
      <c r="AA1078" s="2379"/>
      <c r="AB1078" s="2379"/>
      <c r="AC1078" s="2379"/>
      <c r="AD1078" s="2379"/>
      <c r="AE1078" s="2379"/>
      <c r="AF1078" s="2379"/>
      <c r="AG1078" s="2379"/>
      <c r="AH1078" s="2379"/>
      <c r="AI1078" s="2379"/>
      <c r="AJ1078" s="2379"/>
      <c r="AK1078" s="2379"/>
    </row>
    <row r="1079" spans="1:96" ht="12.6" customHeight="1">
      <c r="A1079" s="234"/>
      <c r="B1079" s="234"/>
      <c r="C1079" s="317"/>
      <c r="D1079" s="2379"/>
      <c r="E1079" s="2379"/>
      <c r="F1079" s="2379"/>
      <c r="G1079" s="2379"/>
      <c r="H1079" s="2379"/>
      <c r="I1079" s="2379"/>
      <c r="J1079" s="2379"/>
      <c r="K1079" s="2379"/>
      <c r="L1079" s="2379"/>
      <c r="M1079" s="2379"/>
      <c r="N1079" s="2379"/>
      <c r="O1079" s="2379"/>
      <c r="P1079" s="2379"/>
      <c r="Q1079" s="2379"/>
      <c r="R1079" s="2379"/>
      <c r="S1079" s="2379"/>
      <c r="T1079" s="2379"/>
      <c r="U1079" s="2379"/>
      <c r="V1079" s="2379"/>
      <c r="W1079" s="2379"/>
      <c r="X1079" s="2379"/>
      <c r="Y1079" s="2379"/>
      <c r="Z1079" s="2379"/>
      <c r="AA1079" s="2379"/>
      <c r="AB1079" s="2379"/>
      <c r="AC1079" s="2379"/>
      <c r="AD1079" s="2379"/>
      <c r="AE1079" s="2379"/>
      <c r="AF1079" s="2379"/>
      <c r="AG1079" s="2379"/>
      <c r="AH1079" s="2379"/>
      <c r="AI1079" s="2379"/>
      <c r="AJ1079" s="2379"/>
      <c r="AK1079" s="2379"/>
    </row>
    <row r="1080" spans="1:96" ht="12.6" customHeight="1">
      <c r="A1080" s="234"/>
      <c r="B1080" s="234"/>
      <c r="C1080" s="317"/>
      <c r="D1080" s="2379"/>
      <c r="E1080" s="2379"/>
      <c r="F1080" s="2379"/>
      <c r="G1080" s="2379"/>
      <c r="H1080" s="2379"/>
      <c r="I1080" s="2379"/>
      <c r="J1080" s="2379"/>
      <c r="K1080" s="2379"/>
      <c r="L1080" s="2379"/>
      <c r="M1080" s="2379"/>
      <c r="N1080" s="2379"/>
      <c r="O1080" s="2379"/>
      <c r="P1080" s="2379"/>
      <c r="Q1080" s="2379"/>
      <c r="R1080" s="2379"/>
      <c r="S1080" s="2379"/>
      <c r="T1080" s="2379"/>
      <c r="U1080" s="2379"/>
      <c r="V1080" s="2379"/>
      <c r="W1080" s="2379"/>
      <c r="X1080" s="2379"/>
      <c r="Y1080" s="2379"/>
      <c r="Z1080" s="2379"/>
      <c r="AA1080" s="2379"/>
      <c r="AB1080" s="2379"/>
      <c r="AC1080" s="2379"/>
      <c r="AD1080" s="2379"/>
      <c r="AE1080" s="2379"/>
      <c r="AF1080" s="2379"/>
      <c r="AG1080" s="2379"/>
      <c r="AH1080" s="2379"/>
      <c r="AI1080" s="2379"/>
      <c r="AJ1080" s="2379"/>
      <c r="AK1080" s="2379"/>
      <c r="AL1080" s="681"/>
    </row>
    <row r="1081" spans="1:96" ht="12" customHeight="1">
      <c r="A1081" s="62"/>
      <c r="B1081" s="66"/>
      <c r="C1081" s="317"/>
      <c r="D1081" s="2379"/>
      <c r="E1081" s="2379"/>
      <c r="F1081" s="2379"/>
      <c r="G1081" s="2379"/>
      <c r="H1081" s="2379"/>
      <c r="I1081" s="2379"/>
      <c r="J1081" s="2379"/>
      <c r="K1081" s="2379"/>
      <c r="L1081" s="2379"/>
      <c r="M1081" s="2379"/>
      <c r="N1081" s="2379"/>
      <c r="O1081" s="2379"/>
      <c r="P1081" s="2379"/>
      <c r="Q1081" s="2379"/>
      <c r="R1081" s="2379"/>
      <c r="S1081" s="2379"/>
      <c r="T1081" s="2379"/>
      <c r="U1081" s="2379"/>
      <c r="V1081" s="2379"/>
      <c r="W1081" s="2379"/>
      <c r="X1081" s="2379"/>
      <c r="Y1081" s="2379"/>
      <c r="Z1081" s="2379"/>
      <c r="AA1081" s="2379"/>
      <c r="AB1081" s="2379"/>
      <c r="AC1081" s="2379"/>
      <c r="AD1081" s="2379"/>
      <c r="AE1081" s="2379"/>
      <c r="AF1081" s="2379"/>
      <c r="AG1081" s="2379"/>
      <c r="AH1081" s="2379"/>
      <c r="AI1081" s="2379"/>
      <c r="AJ1081" s="2379"/>
      <c r="AK1081" s="2379"/>
    </row>
    <row r="1082" spans="1:96" ht="12.6" customHeight="1">
      <c r="A1082" s="2055" t="s">
        <v>625</v>
      </c>
      <c r="B1082" s="2055"/>
      <c r="C1082" s="317">
        <v>9</v>
      </c>
      <c r="D1082" s="1885" t="s">
        <v>1208</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7"/>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ER659:EV659"/>
    <mergeCell ref="ER651:EV651"/>
    <mergeCell ref="AC740:AG740"/>
    <mergeCell ref="AC741:AG741"/>
    <mergeCell ref="AI673:AK673"/>
    <mergeCell ref="Z671:AK671"/>
    <mergeCell ref="AC730:AG730"/>
    <mergeCell ref="AC731:AG731"/>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AI697:AK697"/>
    <mergeCell ref="AA690:AK690"/>
    <mergeCell ref="AI657:AK657"/>
    <mergeCell ref="BS655:BW655"/>
    <mergeCell ref="CH654:CL654"/>
    <mergeCell ref="BX656:CB656"/>
    <mergeCell ref="BX657:CB657"/>
    <mergeCell ref="CC655:CG655"/>
    <mergeCell ref="CC656:CG656"/>
    <mergeCell ref="CC657:CG657"/>
    <mergeCell ref="EM655:EQ655"/>
    <mergeCell ref="DX659:EB659"/>
    <mergeCell ref="EC659:EG659"/>
    <mergeCell ref="EH659:EL659"/>
    <mergeCell ref="EM659:EQ659"/>
    <mergeCell ref="AM733:AO733"/>
    <mergeCell ref="AM729:AO729"/>
    <mergeCell ref="AM738:AO738"/>
    <mergeCell ref="CC658:CG658"/>
    <mergeCell ref="AM740:AO740"/>
    <mergeCell ref="BX663:CB663"/>
    <mergeCell ref="CH658:CL658"/>
    <mergeCell ref="BS657:BW657"/>
    <mergeCell ref="AI689:AK689"/>
    <mergeCell ref="AG667:AH667"/>
    <mergeCell ref="B650:AN650"/>
    <mergeCell ref="B651:AN651"/>
    <mergeCell ref="CM658:CQ658"/>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CX652:DB652"/>
    <mergeCell ref="DH652:DL652"/>
    <mergeCell ref="DM652:DQ652"/>
    <mergeCell ref="CS630:CW630"/>
    <mergeCell ref="CX630:DB630"/>
    <mergeCell ref="DC630:DG630"/>
    <mergeCell ref="DH630:DL630"/>
    <mergeCell ref="BX640:CB640"/>
    <mergeCell ref="BX635:CB635"/>
    <mergeCell ref="CC635:CG635"/>
    <mergeCell ref="CC641:CG641"/>
    <mergeCell ref="CC634:CG634"/>
    <mergeCell ref="BX633:CB633"/>
    <mergeCell ref="BX649:CB649"/>
    <mergeCell ref="CM643:CQ643"/>
    <mergeCell ref="CM654:CQ654"/>
    <mergeCell ref="CH652:CL652"/>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AF643:AJ643"/>
    <mergeCell ref="AO640:AS640"/>
    <mergeCell ref="G623:L623"/>
    <mergeCell ref="G622:R622"/>
    <mergeCell ref="Z621:AK621"/>
    <mergeCell ref="CX626:DB626"/>
    <mergeCell ref="R642:T642"/>
    <mergeCell ref="U641:W641"/>
    <mergeCell ref="U640:W640"/>
    <mergeCell ref="AO638:AS638"/>
    <mergeCell ref="AO641:AS641"/>
    <mergeCell ref="CX627:DB627"/>
    <mergeCell ref="CS620:CW620"/>
    <mergeCell ref="CX620:DB620"/>
    <mergeCell ref="AF634:AJ636"/>
    <mergeCell ref="AF637:AJ637"/>
    <mergeCell ref="CH619:CL619"/>
    <mergeCell ref="CM621:CQ621"/>
    <mergeCell ref="AO642:AS642"/>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EC621:EG621"/>
    <mergeCell ref="EH621:EL621"/>
    <mergeCell ref="EM621:EQ621"/>
    <mergeCell ref="ER621:EV621"/>
    <mergeCell ref="EW621:FA621"/>
    <mergeCell ref="R971:AA971"/>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C612:EG612"/>
    <mergeCell ref="EH612:EL612"/>
    <mergeCell ref="EM612:EQ612"/>
    <mergeCell ref="ER612:EV612"/>
    <mergeCell ref="EW612:FA612"/>
    <mergeCell ref="DM634:DQ634"/>
    <mergeCell ref="DH634:DL634"/>
    <mergeCell ref="DR634:DV634"/>
    <mergeCell ref="DR633:DV633"/>
    <mergeCell ref="DH633:DL633"/>
    <mergeCell ref="DM631:DQ631"/>
    <mergeCell ref="DR631:DV631"/>
    <mergeCell ref="DM632:DQ632"/>
    <mergeCell ref="DR632:DV632"/>
    <mergeCell ref="DM630:DQ630"/>
    <mergeCell ref="DR629:DV629"/>
    <mergeCell ref="DC626:DG626"/>
    <mergeCell ref="CX628:DB628"/>
    <mergeCell ref="EC609:EG609"/>
    <mergeCell ref="EH609:EL609"/>
    <mergeCell ref="EM609:EQ609"/>
    <mergeCell ref="ER609:EV609"/>
    <mergeCell ref="DX613:EB613"/>
    <mergeCell ref="EH618:EL618"/>
    <mergeCell ref="EM618:EQ618"/>
    <mergeCell ref="ER618:EV618"/>
    <mergeCell ref="DX622:EB622"/>
    <mergeCell ref="EC622:EG622"/>
    <mergeCell ref="EH622:EL622"/>
    <mergeCell ref="EM622:EQ622"/>
    <mergeCell ref="ER622:EV622"/>
    <mergeCell ref="AG980:AH980"/>
    <mergeCell ref="AG986:AH986"/>
    <mergeCell ref="AG990:AH990"/>
    <mergeCell ref="AG992:AH992"/>
    <mergeCell ref="AG995:AH995"/>
    <mergeCell ref="AG999:AH999"/>
    <mergeCell ref="AG1004:AH1004"/>
    <mergeCell ref="D995:AE995"/>
    <mergeCell ref="AB971:AI971"/>
    <mergeCell ref="AB972:AI972"/>
    <mergeCell ref="AB973:AI973"/>
    <mergeCell ref="AB974:AI974"/>
    <mergeCell ref="R972:AA972"/>
    <mergeCell ref="R973:AA973"/>
    <mergeCell ref="O637:Q637"/>
    <mergeCell ref="DX609:EB609"/>
    <mergeCell ref="DX612:EB612"/>
    <mergeCell ref="DX621:EB621"/>
    <mergeCell ref="DX624:EB624"/>
    <mergeCell ref="O634:Q636"/>
    <mergeCell ref="R634:T636"/>
    <mergeCell ref="B634:N636"/>
    <mergeCell ref="C637:N637"/>
    <mergeCell ref="C638:N638"/>
    <mergeCell ref="C639:N639"/>
    <mergeCell ref="C640:N640"/>
    <mergeCell ref="C641:N641"/>
    <mergeCell ref="C642:N642"/>
    <mergeCell ref="C643:N643"/>
    <mergeCell ref="C644:N644"/>
    <mergeCell ref="C645:N645"/>
    <mergeCell ref="DM635:DQ635"/>
    <mergeCell ref="C824:H824"/>
    <mergeCell ref="W853:AC853"/>
    <mergeCell ref="AC890:AH890"/>
    <mergeCell ref="W872:AC872"/>
    <mergeCell ref="D968:Q968"/>
    <mergeCell ref="Q828:T828"/>
    <mergeCell ref="AG827:AJ827"/>
    <mergeCell ref="AC826:AF826"/>
    <mergeCell ref="Q827:T827"/>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963:AS964"/>
    <mergeCell ref="AA933:AF933"/>
    <mergeCell ref="AA919:AF919"/>
    <mergeCell ref="AA917:AF917"/>
    <mergeCell ref="AA921:AF921"/>
    <mergeCell ref="AA930:AF930"/>
    <mergeCell ref="AA924:AF924"/>
    <mergeCell ref="AA932:AF932"/>
    <mergeCell ref="AA927:AF927"/>
    <mergeCell ref="AA926:AF926"/>
    <mergeCell ref="R969:AA969"/>
    <mergeCell ref="M943:S943"/>
    <mergeCell ref="AJ968:AQ968"/>
    <mergeCell ref="AJ969:AQ969"/>
    <mergeCell ref="AJ970:AQ970"/>
    <mergeCell ref="AJ971:AQ971"/>
    <mergeCell ref="W860:AC860"/>
    <mergeCell ref="AC891:AH891"/>
    <mergeCell ref="W869:AC869"/>
    <mergeCell ref="M944:S944"/>
    <mergeCell ref="Z898:AE898"/>
    <mergeCell ref="M940:S940"/>
    <mergeCell ref="AC884:AH884"/>
    <mergeCell ref="M951:S951"/>
    <mergeCell ref="U919:Z919"/>
    <mergeCell ref="AA951:AG951"/>
    <mergeCell ref="AA957:AG957"/>
    <mergeCell ref="M955:S955"/>
    <mergeCell ref="M875:V875"/>
    <mergeCell ref="AC892:AH892"/>
    <mergeCell ref="M954:S954"/>
    <mergeCell ref="F912:T912"/>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D973:Q97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F755:AH755"/>
    <mergeCell ref="AC750:AG750"/>
    <mergeCell ref="O740:S740"/>
    <mergeCell ref="B750:F750"/>
    <mergeCell ref="AC742:AG742"/>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D969:Q969"/>
    <mergeCell ref="D970:Q970"/>
    <mergeCell ref="D971:Q971"/>
    <mergeCell ref="D972:Q972"/>
    <mergeCell ref="AA956:AG956"/>
    <mergeCell ref="M942:S942"/>
    <mergeCell ref="W876:AC876"/>
    <mergeCell ref="R970:AA970"/>
    <mergeCell ref="AB968:AI968"/>
    <mergeCell ref="AB969:AI969"/>
    <mergeCell ref="AB970:AI970"/>
    <mergeCell ref="U929:Z929"/>
    <mergeCell ref="U912:Z914"/>
    <mergeCell ref="U934:Z934"/>
    <mergeCell ref="AA959:AG959"/>
    <mergeCell ref="K748:N748"/>
    <mergeCell ref="K750:N750"/>
    <mergeCell ref="G744:J74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T768:W771"/>
    <mergeCell ref="AC792:AG792"/>
    <mergeCell ref="C830:L830"/>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G738:J738"/>
    <mergeCell ref="O776:S776"/>
    <mergeCell ref="J782:N785"/>
    <mergeCell ref="T789:W789"/>
    <mergeCell ref="T739:X739"/>
    <mergeCell ref="T740:X740"/>
    <mergeCell ref="T751:X751"/>
    <mergeCell ref="T752:X752"/>
    <mergeCell ref="O746:S746"/>
    <mergeCell ref="Y746:AB746"/>
    <mergeCell ref="Y745:AB745"/>
    <mergeCell ref="K749:N749"/>
    <mergeCell ref="G750:J750"/>
    <mergeCell ref="Y825:AB825"/>
    <mergeCell ref="AC829:AF829"/>
    <mergeCell ref="Y827:AB827"/>
    <mergeCell ref="T782:W785"/>
    <mergeCell ref="AG828:AJ828"/>
    <mergeCell ref="AH782:AL785"/>
    <mergeCell ref="AH786:AL786"/>
    <mergeCell ref="AH787:AL787"/>
    <mergeCell ref="AC827:AF827"/>
    <mergeCell ref="M827:P827"/>
    <mergeCell ref="AG824:AJ824"/>
    <mergeCell ref="AG823:AJ823"/>
    <mergeCell ref="AC793:AG793"/>
    <mergeCell ref="AC794:AG794"/>
    <mergeCell ref="J789:N789"/>
    <mergeCell ref="AH792:AL792"/>
    <mergeCell ref="AH793:AL793"/>
    <mergeCell ref="AH794:AL794"/>
    <mergeCell ref="M829:P829"/>
    <mergeCell ref="Q823:T823"/>
    <mergeCell ref="AM747:AO747"/>
    <mergeCell ref="AM748:AO748"/>
    <mergeCell ref="AM746:AO746"/>
    <mergeCell ref="AM745:AO745"/>
    <mergeCell ref="K740:N740"/>
    <mergeCell ref="O744:S744"/>
    <mergeCell ref="Y828:AB828"/>
    <mergeCell ref="U827:X827"/>
    <mergeCell ref="C828:H828"/>
    <mergeCell ref="W841:AC841"/>
    <mergeCell ref="O791:S791"/>
    <mergeCell ref="O768:S771"/>
    <mergeCell ref="Y750:AB750"/>
    <mergeCell ref="G751:J751"/>
    <mergeCell ref="G742:J742"/>
    <mergeCell ref="Y798:AC798"/>
    <mergeCell ref="Y751:AB751"/>
    <mergeCell ref="AM752:AO752"/>
    <mergeCell ref="AM751:AO751"/>
    <mergeCell ref="AM753:AO753"/>
    <mergeCell ref="AG826:AJ826"/>
    <mergeCell ref="O745:S745"/>
    <mergeCell ref="G749:J749"/>
    <mergeCell ref="G748:J748"/>
    <mergeCell ref="G747:J747"/>
    <mergeCell ref="G745:J745"/>
    <mergeCell ref="G746:J746"/>
    <mergeCell ref="Y752:AB752"/>
    <mergeCell ref="J775:N775"/>
    <mergeCell ref="AH749:AL749"/>
    <mergeCell ref="M828:P828"/>
    <mergeCell ref="J793:N793"/>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AE944:AK944"/>
    <mergeCell ref="AE945:AK945"/>
    <mergeCell ref="AJ974:AQ974"/>
    <mergeCell ref="W863:AC863"/>
    <mergeCell ref="W877:AC877"/>
    <mergeCell ref="J772:N772"/>
    <mergeCell ref="B728:F728"/>
    <mergeCell ref="G730:J730"/>
    <mergeCell ref="B731:F731"/>
    <mergeCell ref="Y735:AB735"/>
    <mergeCell ref="T733:X733"/>
    <mergeCell ref="T734:X734"/>
    <mergeCell ref="B732:F732"/>
    <mergeCell ref="Y732:AB732"/>
    <mergeCell ref="M872:V872"/>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X1036:AC1036"/>
    <mergeCell ref="AM741:AO741"/>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C734:AG734"/>
    <mergeCell ref="AC736:AG736"/>
    <mergeCell ref="AH733:AL733"/>
    <mergeCell ref="AH752:AL752"/>
    <mergeCell ref="AH788:AL788"/>
    <mergeCell ref="AH789:AL789"/>
    <mergeCell ref="AH790:AL790"/>
    <mergeCell ref="AH791:AL791"/>
    <mergeCell ref="Z812:AE812"/>
    <mergeCell ref="W843:AC843"/>
    <mergeCell ref="AC786:AG786"/>
    <mergeCell ref="X774:AB774"/>
    <mergeCell ref="X775:AB775"/>
    <mergeCell ref="W868:AC868"/>
    <mergeCell ref="AH744:AL744"/>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G671:R671"/>
    <mergeCell ref="G739:J739"/>
    <mergeCell ref="O734:S734"/>
    <mergeCell ref="N683:O683"/>
    <mergeCell ref="Z689:AE689"/>
    <mergeCell ref="H690:R690"/>
    <mergeCell ref="Z680:AK680"/>
    <mergeCell ref="R715:T715"/>
    <mergeCell ref="G728:J728"/>
    <mergeCell ref="W713:AK713"/>
    <mergeCell ref="K733:N733"/>
    <mergeCell ref="B737:F737"/>
    <mergeCell ref="Y738:AB738"/>
    <mergeCell ref="O728:S728"/>
    <mergeCell ref="T735:X735"/>
    <mergeCell ref="T736:X736"/>
    <mergeCell ref="T737:X737"/>
    <mergeCell ref="O732:S732"/>
    <mergeCell ref="AF639:AJ639"/>
    <mergeCell ref="Y740:AB740"/>
    <mergeCell ref="AM731:AO731"/>
    <mergeCell ref="Y728:AB728"/>
    <mergeCell ref="O742:S742"/>
    <mergeCell ref="O743:S743"/>
    <mergeCell ref="O647:Q647"/>
    <mergeCell ref="O648:Q648"/>
    <mergeCell ref="O775:S77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CS648:CW648"/>
    <mergeCell ref="CX648:DB648"/>
    <mergeCell ref="DC648:DG648"/>
    <mergeCell ref="CS649:CW649"/>
    <mergeCell ref="CH642:CL642"/>
    <mergeCell ref="CH650:CL650"/>
    <mergeCell ref="CS653:CW653"/>
    <mergeCell ref="CX653:DB653"/>
    <mergeCell ref="CX649:DB649"/>
    <mergeCell ref="CH649:CL649"/>
    <mergeCell ref="CH635:CL635"/>
    <mergeCell ref="CH634:CL634"/>
    <mergeCell ref="CM636:CQ636"/>
    <mergeCell ref="DC649:DG649"/>
    <mergeCell ref="DC652:DG652"/>
    <mergeCell ref="CM634:CQ634"/>
    <mergeCell ref="CM635:CQ635"/>
    <mergeCell ref="CM640:CQ640"/>
    <mergeCell ref="CH640:CL640"/>
    <mergeCell ref="CM653:CQ653"/>
    <mergeCell ref="CH653:CL653"/>
    <mergeCell ref="DC634:DG634"/>
    <mergeCell ref="DM629:DQ629"/>
    <mergeCell ref="CS629:CW629"/>
    <mergeCell ref="CX629:DB629"/>
    <mergeCell ref="CS631:CW631"/>
    <mergeCell ref="CX631:DB631"/>
    <mergeCell ref="DC631:DG631"/>
    <mergeCell ref="DH631:DL631"/>
    <mergeCell ref="R644:T644"/>
    <mergeCell ref="AO651:AS651"/>
    <mergeCell ref="G654:R654"/>
    <mergeCell ref="Z655:AK655"/>
    <mergeCell ref="P665:R665"/>
    <mergeCell ref="Z677:AK677"/>
    <mergeCell ref="Z672:AK672"/>
    <mergeCell ref="AA674:AK674"/>
    <mergeCell ref="H674:R674"/>
    <mergeCell ref="Z695:AK695"/>
    <mergeCell ref="G662:R662"/>
    <mergeCell ref="BS656:BW656"/>
    <mergeCell ref="AO648:AS648"/>
    <mergeCell ref="AO639:AS639"/>
    <mergeCell ref="AF640:AJ640"/>
    <mergeCell ref="AF641:AJ641"/>
    <mergeCell ref="AF642:AJ642"/>
    <mergeCell ref="CH630:CL630"/>
    <mergeCell ref="BE630:BF630"/>
    <mergeCell ref="BG630:BH630"/>
    <mergeCell ref="CH629:CL629"/>
    <mergeCell ref="AO646:AS646"/>
    <mergeCell ref="AO637:AS637"/>
    <mergeCell ref="O646:Q646"/>
    <mergeCell ref="CX634:DB634"/>
    <mergeCell ref="CB799:CH799"/>
    <mergeCell ref="BN799:BO799"/>
    <mergeCell ref="AM724:AO727"/>
    <mergeCell ref="DC633:DG633"/>
    <mergeCell ref="CS633:CW633"/>
    <mergeCell ref="CX633:DB633"/>
    <mergeCell ref="CS634:CW634"/>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DC620:DG620"/>
    <mergeCell ref="DH620:DL620"/>
    <mergeCell ref="DM619:DQ619"/>
    <mergeCell ref="DR619:DV619"/>
    <mergeCell ref="DM620:DQ620"/>
    <mergeCell ref="DR620:DV620"/>
    <mergeCell ref="CS619:CW619"/>
    <mergeCell ref="CX619:DB619"/>
    <mergeCell ref="DC619:DG619"/>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DH609:DL609"/>
    <mergeCell ref="H287:R287"/>
    <mergeCell ref="AA289:AK289"/>
    <mergeCell ref="AI298:AK298"/>
    <mergeCell ref="H296:R296"/>
    <mergeCell ref="CX610:DB610"/>
    <mergeCell ref="H319:R319"/>
    <mergeCell ref="P345:AE345"/>
    <mergeCell ref="P343:AE343"/>
    <mergeCell ref="AI330:AK330"/>
    <mergeCell ref="P338:R338"/>
    <mergeCell ref="N362:O362"/>
    <mergeCell ref="DC610:DG610"/>
    <mergeCell ref="CC627:CG627"/>
    <mergeCell ref="BN628:BR628"/>
    <mergeCell ref="BG628:BH628"/>
    <mergeCell ref="BI628:BJ628"/>
    <mergeCell ref="BK628:BL628"/>
    <mergeCell ref="BS628:BW628"/>
    <mergeCell ref="BX628:CB628"/>
    <mergeCell ref="CS613:CW613"/>
    <mergeCell ref="CS622:CW622"/>
    <mergeCell ref="Z623:AE623"/>
    <mergeCell ref="H624:R624"/>
    <mergeCell ref="BK624:BL624"/>
    <mergeCell ref="BN624:BR624"/>
    <mergeCell ref="H323:M323"/>
    <mergeCell ref="AA320:AK320"/>
    <mergeCell ref="H324:R324"/>
    <mergeCell ref="N371:Q371"/>
    <mergeCell ref="H326:R326"/>
    <mergeCell ref="AA332:AK332"/>
    <mergeCell ref="AH533:AK533"/>
    <mergeCell ref="AC529:AF529"/>
    <mergeCell ref="AH517:AK517"/>
    <mergeCell ref="AH515:AK515"/>
    <mergeCell ref="CX617:DB617"/>
    <mergeCell ref="Y487:AC487"/>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CS609:CW609"/>
    <mergeCell ref="Z612:AK612"/>
    <mergeCell ref="G620:R620"/>
    <mergeCell ref="CH615:CL615"/>
    <mergeCell ref="H330:M330"/>
    <mergeCell ref="H340:R340"/>
    <mergeCell ref="H337:R337"/>
    <mergeCell ref="P344:AE344"/>
    <mergeCell ref="H322:M322"/>
    <mergeCell ref="AA340:AK340"/>
    <mergeCell ref="AA334:AK334"/>
    <mergeCell ref="AA329:AK329"/>
    <mergeCell ref="R641:T641"/>
    <mergeCell ref="AO649:AS649"/>
    <mergeCell ref="N659:O659"/>
    <mergeCell ref="R643:T643"/>
    <mergeCell ref="BS650:BW650"/>
    <mergeCell ref="BN648:BR648"/>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CS610:CW610"/>
    <mergeCell ref="G663:R663"/>
    <mergeCell ref="Z663:AK663"/>
    <mergeCell ref="AI665:AK665"/>
    <mergeCell ref="Z656:AK656"/>
    <mergeCell ref="G656:R656"/>
    <mergeCell ref="A627:AS628"/>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K734:N734"/>
    <mergeCell ref="K735:N735"/>
    <mergeCell ref="Y729:AB729"/>
    <mergeCell ref="G724:J727"/>
    <mergeCell ref="K724:N727"/>
    <mergeCell ref="K731:N731"/>
    <mergeCell ref="T728:X728"/>
    <mergeCell ref="Y724:AB727"/>
    <mergeCell ref="B733:F733"/>
    <mergeCell ref="B735:F735"/>
    <mergeCell ref="B734:F734"/>
    <mergeCell ref="B649:AN649"/>
    <mergeCell ref="R640:T640"/>
    <mergeCell ref="G664:R664"/>
    <mergeCell ref="G688:R688"/>
    <mergeCell ref="G673:L673"/>
    <mergeCell ref="Z687:AK687"/>
    <mergeCell ref="G693:R693"/>
    <mergeCell ref="AI681:AK681"/>
    <mergeCell ref="K730:N730"/>
    <mergeCell ref="Z697:AE697"/>
    <mergeCell ref="G694:R694"/>
    <mergeCell ref="Z679:AK679"/>
    <mergeCell ref="O729:S729"/>
    <mergeCell ref="G672:R672"/>
    <mergeCell ref="G680:R680"/>
    <mergeCell ref="Z696:AK696"/>
    <mergeCell ref="AE708:AI708"/>
    <mergeCell ref="G665:L665"/>
    <mergeCell ref="A1066:B1066"/>
    <mergeCell ref="A1040:AL1040"/>
    <mergeCell ref="A1063:B1063"/>
    <mergeCell ref="A1056:B1056"/>
    <mergeCell ref="A1050:B1050"/>
    <mergeCell ref="A1044:B1044"/>
    <mergeCell ref="M939:S939"/>
    <mergeCell ref="AA954:AG954"/>
    <mergeCell ref="O958:P958"/>
    <mergeCell ref="F959:L959"/>
    <mergeCell ref="Y743:AB743"/>
    <mergeCell ref="U924:Z924"/>
    <mergeCell ref="U925:Z925"/>
    <mergeCell ref="P930:T930"/>
    <mergeCell ref="AC887:AH887"/>
    <mergeCell ref="W859:AC859"/>
    <mergeCell ref="J778:K778"/>
    <mergeCell ref="C835:AJ835"/>
    <mergeCell ref="E883:AB883"/>
    <mergeCell ref="AH795:AL795"/>
    <mergeCell ref="B749:F749"/>
    <mergeCell ref="U932:Z932"/>
    <mergeCell ref="U926:Z926"/>
    <mergeCell ref="Z896:AE896"/>
    <mergeCell ref="W870:AC870"/>
    <mergeCell ref="AC882:AH882"/>
    <mergeCell ref="W873:AC873"/>
    <mergeCell ref="T856:V856"/>
    <mergeCell ref="T858:V858"/>
    <mergeCell ref="W865:AC865"/>
    <mergeCell ref="W850:AC850"/>
    <mergeCell ref="AC796:AG796"/>
    <mergeCell ref="AC751:AG751"/>
    <mergeCell ref="AC752:AG752"/>
    <mergeCell ref="W847:AC847"/>
    <mergeCell ref="M844:V844"/>
    <mergeCell ref="AC775:AG775"/>
    <mergeCell ref="M830:P830"/>
    <mergeCell ref="AC795:AG795"/>
    <mergeCell ref="AC787:AG787"/>
    <mergeCell ref="U826:X826"/>
    <mergeCell ref="Y826:AB826"/>
    <mergeCell ref="AH753:AL753"/>
    <mergeCell ref="T753:X753"/>
    <mergeCell ref="Z813:AE813"/>
    <mergeCell ref="O750:S750"/>
    <mergeCell ref="Z806:AE806"/>
    <mergeCell ref="Z816:AE816"/>
    <mergeCell ref="B752:F752"/>
    <mergeCell ref="AC772:AG772"/>
    <mergeCell ref="X776:AB776"/>
    <mergeCell ref="O772:S772"/>
    <mergeCell ref="Q830:T830"/>
    <mergeCell ref="BG965:BL965"/>
    <mergeCell ref="AA934:AF934"/>
    <mergeCell ref="AE940:AK940"/>
    <mergeCell ref="BD909:BE909"/>
    <mergeCell ref="BD910:BE910"/>
    <mergeCell ref="U931:Z931"/>
    <mergeCell ref="U916:Z916"/>
    <mergeCell ref="U930:Z930"/>
    <mergeCell ref="U918:Z918"/>
    <mergeCell ref="BD912:BE912"/>
    <mergeCell ref="AB941:AK941"/>
    <mergeCell ref="U933:Z933"/>
    <mergeCell ref="U920:Z920"/>
    <mergeCell ref="AA953:AG953"/>
    <mergeCell ref="T956:Z956"/>
    <mergeCell ref="AA952:AG952"/>
    <mergeCell ref="AE939:AK939"/>
    <mergeCell ref="I934:T934"/>
    <mergeCell ref="F913:T914"/>
    <mergeCell ref="U917:Z917"/>
    <mergeCell ref="J941:S941"/>
    <mergeCell ref="Z897:AE897"/>
    <mergeCell ref="W867:AC867"/>
    <mergeCell ref="AC886:AH886"/>
    <mergeCell ref="M876:V876"/>
    <mergeCell ref="AA955:AG955"/>
    <mergeCell ref="AE946:AK946"/>
    <mergeCell ref="U927:Z927"/>
    <mergeCell ref="U923:Z923"/>
    <mergeCell ref="AB914:AE914"/>
    <mergeCell ref="M953:S953"/>
    <mergeCell ref="M952:S952"/>
    <mergeCell ref="AE943:AK943"/>
    <mergeCell ref="W958:AG958"/>
    <mergeCell ref="M957:S957"/>
    <mergeCell ref="M956:S956"/>
    <mergeCell ref="M945:S945"/>
    <mergeCell ref="U928:Z928"/>
    <mergeCell ref="M959:S959"/>
    <mergeCell ref="BD907:BF907"/>
    <mergeCell ref="BD901:BE901"/>
    <mergeCell ref="BD903:BE903"/>
    <mergeCell ref="BD904:BE904"/>
    <mergeCell ref="BD906:BE906"/>
    <mergeCell ref="BD902:BE902"/>
    <mergeCell ref="AE942:AK942"/>
    <mergeCell ref="BD905:BE905"/>
    <mergeCell ref="U915:Z915"/>
    <mergeCell ref="T957:Z957"/>
    <mergeCell ref="U922:Z922"/>
    <mergeCell ref="M946:S946"/>
    <mergeCell ref="U921:Z921"/>
    <mergeCell ref="I931:T931"/>
    <mergeCell ref="I932:T932"/>
    <mergeCell ref="I933:T933"/>
    <mergeCell ref="U828:X828"/>
    <mergeCell ref="AG829:AJ829"/>
    <mergeCell ref="W864:AC864"/>
    <mergeCell ref="M869:V869"/>
    <mergeCell ref="W875:AC875"/>
    <mergeCell ref="W851:AC851"/>
    <mergeCell ref="AC828:AF828"/>
    <mergeCell ref="A907:AL908"/>
    <mergeCell ref="BD908:BF908"/>
    <mergeCell ref="AG830:AJ830"/>
    <mergeCell ref="W842:AC842"/>
    <mergeCell ref="AC830:AF830"/>
    <mergeCell ref="W844:AC844"/>
    <mergeCell ref="W849:AC849"/>
    <mergeCell ref="W840:AC840"/>
    <mergeCell ref="W845:AC845"/>
    <mergeCell ref="AZ854:BA854"/>
    <mergeCell ref="W874:AC874"/>
    <mergeCell ref="M874:V874"/>
    <mergeCell ref="U830:X830"/>
    <mergeCell ref="M873:V873"/>
    <mergeCell ref="W855:AC855"/>
    <mergeCell ref="AC885:AH885"/>
    <mergeCell ref="Y829:AB829"/>
    <mergeCell ref="U829:X829"/>
    <mergeCell ref="Q829:T829"/>
    <mergeCell ref="W852:AC852"/>
    <mergeCell ref="M859:V859"/>
    <mergeCell ref="J847:V847"/>
    <mergeCell ref="AC881:AH881"/>
    <mergeCell ref="G734:J734"/>
    <mergeCell ref="K732:N732"/>
    <mergeCell ref="X772:AB772"/>
    <mergeCell ref="U823:X823"/>
    <mergeCell ref="Q825:T825"/>
    <mergeCell ref="U825:X825"/>
    <mergeCell ref="Y824:AB824"/>
    <mergeCell ref="AC824:AF824"/>
    <mergeCell ref="AC825:AF825"/>
    <mergeCell ref="AC776:AG776"/>
    <mergeCell ref="Q821:T822"/>
    <mergeCell ref="B753:F753"/>
    <mergeCell ref="AC791:AG791"/>
    <mergeCell ref="M824:P824"/>
    <mergeCell ref="J795:N795"/>
    <mergeCell ref="O795:S795"/>
    <mergeCell ref="T794:W794"/>
    <mergeCell ref="C823:H823"/>
    <mergeCell ref="O786:S786"/>
    <mergeCell ref="Z807:AE807"/>
    <mergeCell ref="J774:N774"/>
    <mergeCell ref="Q824:T824"/>
    <mergeCell ref="M823:P823"/>
    <mergeCell ref="T792:W792"/>
    <mergeCell ref="Z811:AE811"/>
    <mergeCell ref="AG821:AJ822"/>
    <mergeCell ref="J787:N787"/>
    <mergeCell ref="J768:N771"/>
    <mergeCell ref="Y749:AB749"/>
    <mergeCell ref="G752:J752"/>
    <mergeCell ref="O782:S785"/>
    <mergeCell ref="O773:S773"/>
    <mergeCell ref="Z657:AE657"/>
    <mergeCell ref="Z662:AK662"/>
    <mergeCell ref="AH526:AK526"/>
    <mergeCell ref="T729:X729"/>
    <mergeCell ref="T730:X730"/>
    <mergeCell ref="K736:N736"/>
    <mergeCell ref="J773:N773"/>
    <mergeCell ref="G753:J753"/>
    <mergeCell ref="T773:W773"/>
    <mergeCell ref="T790:W790"/>
    <mergeCell ref="T791:W791"/>
    <mergeCell ref="AH740:AL740"/>
    <mergeCell ref="T724:X727"/>
    <mergeCell ref="AC738:AG738"/>
    <mergeCell ref="AH734:AL734"/>
    <mergeCell ref="AH735:AL735"/>
    <mergeCell ref="AH736:AL736"/>
    <mergeCell ref="AE709:AI709"/>
    <mergeCell ref="A719:AO721"/>
    <mergeCell ref="AH724:AL727"/>
    <mergeCell ref="AH730:AL730"/>
    <mergeCell ref="T749:X749"/>
    <mergeCell ref="J786:N786"/>
    <mergeCell ref="J776:N776"/>
    <mergeCell ref="B742:F742"/>
    <mergeCell ref="B748:F748"/>
    <mergeCell ref="AH748:AL748"/>
    <mergeCell ref="B739:F739"/>
    <mergeCell ref="B738:F738"/>
    <mergeCell ref="O733:S733"/>
    <mergeCell ref="Y739:AB739"/>
    <mergeCell ref="G740:J740"/>
    <mergeCell ref="T750:X750"/>
    <mergeCell ref="O794:S794"/>
    <mergeCell ref="AC790:AG790"/>
    <mergeCell ref="AG825:AJ825"/>
    <mergeCell ref="Y821:AB822"/>
    <mergeCell ref="T786:W786"/>
    <mergeCell ref="T787:W787"/>
    <mergeCell ref="U821:X822"/>
    <mergeCell ref="P814:Y814"/>
    <mergeCell ref="O787:S787"/>
    <mergeCell ref="T788:W788"/>
    <mergeCell ref="Y744:AB744"/>
    <mergeCell ref="AC733:AG733"/>
    <mergeCell ref="T732:X732"/>
    <mergeCell ref="AC747:AG747"/>
    <mergeCell ref="Y799:AC799"/>
    <mergeCell ref="O790:S790"/>
    <mergeCell ref="Z815:AE815"/>
    <mergeCell ref="Z804:AE804"/>
    <mergeCell ref="Z805:AE805"/>
    <mergeCell ref="AC748:AG748"/>
    <mergeCell ref="AC749:AG749"/>
    <mergeCell ref="T745:X745"/>
    <mergeCell ref="T746:X746"/>
    <mergeCell ref="X794:AB794"/>
    <mergeCell ref="X795:AB795"/>
    <mergeCell ref="AC746:AG746"/>
    <mergeCell ref="O796:S796"/>
    <mergeCell ref="X768:AB771"/>
    <mergeCell ref="O774:S774"/>
    <mergeCell ref="M821:P822"/>
    <mergeCell ref="T793:W793"/>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Q364:AG364"/>
    <mergeCell ref="W468:Y468"/>
    <mergeCell ref="AC511:AK511"/>
    <mergeCell ref="A478:AL479"/>
    <mergeCell ref="AC536:AF536"/>
    <mergeCell ref="AD484:AH485"/>
    <mergeCell ref="B501:P502"/>
    <mergeCell ref="AC518:AF518"/>
    <mergeCell ref="O538:AA538"/>
    <mergeCell ref="AH546:AK546"/>
    <mergeCell ref="Y489:AC489"/>
    <mergeCell ref="T484:X485"/>
    <mergeCell ref="J366:K366"/>
    <mergeCell ref="AH516:AK516"/>
    <mergeCell ref="AH529:AK529"/>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A336:AK336"/>
    <mergeCell ref="J387:U387"/>
    <mergeCell ref="AG394:AJ394"/>
    <mergeCell ref="AI391:AJ391"/>
    <mergeCell ref="AG392:AJ392"/>
    <mergeCell ref="AG390:AJ390"/>
    <mergeCell ref="P348:AE348"/>
    <mergeCell ref="AC369:AF369"/>
    <mergeCell ref="P347:Z347"/>
    <mergeCell ref="N372:AF373"/>
    <mergeCell ref="H338:M33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I391:N391"/>
    <mergeCell ref="H413:AE414"/>
    <mergeCell ref="Q393:U393"/>
    <mergeCell ref="AG400:AJ400"/>
    <mergeCell ref="Y486:AC486"/>
    <mergeCell ref="T487:X487"/>
    <mergeCell ref="Y488:AC488"/>
    <mergeCell ref="Z591:AE591"/>
    <mergeCell ref="Z596:AK596"/>
    <mergeCell ref="AH536:AK536"/>
    <mergeCell ref="AH537:AK537"/>
    <mergeCell ref="AH532:AK532"/>
    <mergeCell ref="AC515:AF515"/>
    <mergeCell ref="AH531:AK531"/>
    <mergeCell ref="AH538:AK538"/>
    <mergeCell ref="AC527:AF527"/>
    <mergeCell ref="AC537:AF537"/>
    <mergeCell ref="AH540:AK540"/>
    <mergeCell ref="T489:X489"/>
    <mergeCell ref="AC517:AF517"/>
    <mergeCell ref="AI582:AK582"/>
    <mergeCell ref="BG609:BH609"/>
    <mergeCell ref="BN610:BR610"/>
    <mergeCell ref="BG610:BH610"/>
    <mergeCell ref="BI610:BJ610"/>
    <mergeCell ref="BK609:BL609"/>
    <mergeCell ref="AM564:AS564"/>
    <mergeCell ref="Z578:AK578"/>
    <mergeCell ref="Z580:AK580"/>
    <mergeCell ref="AC544:AF544"/>
    <mergeCell ref="AC545:AF545"/>
    <mergeCell ref="Y492:AC492"/>
    <mergeCell ref="AM565:AS565"/>
    <mergeCell ref="W574:Y574"/>
    <mergeCell ref="W575:Y575"/>
    <mergeCell ref="AC513:AF513"/>
    <mergeCell ref="AC550:AF550"/>
    <mergeCell ref="AC512:AF512"/>
    <mergeCell ref="A556:AS557"/>
    <mergeCell ref="AM571:AS571"/>
    <mergeCell ref="Z569:AD569"/>
    <mergeCell ref="Z570:AD570"/>
    <mergeCell ref="AH543:AK543"/>
    <mergeCell ref="T569:V569"/>
    <mergeCell ref="T570:V570"/>
    <mergeCell ref="Q563:S563"/>
    <mergeCell ref="W567:Y567"/>
    <mergeCell ref="B563:P563"/>
    <mergeCell ref="C569:P569"/>
    <mergeCell ref="AH544:AK544"/>
    <mergeCell ref="G589:R589"/>
    <mergeCell ref="Z581:AK581"/>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Z599:AE599"/>
    <mergeCell ref="AA608:AK608"/>
    <mergeCell ref="BE611:BF611"/>
    <mergeCell ref="BG614:BH614"/>
    <mergeCell ref="BI614:BJ614"/>
    <mergeCell ref="BI612:BJ612"/>
    <mergeCell ref="BI611:BJ611"/>
    <mergeCell ref="BK612:BL612"/>
    <mergeCell ref="BN612:BR612"/>
    <mergeCell ref="BS611:BW611"/>
    <mergeCell ref="BS612:BW612"/>
    <mergeCell ref="BK615:BL615"/>
    <mergeCell ref="BG611:BH611"/>
    <mergeCell ref="BK611:BL611"/>
    <mergeCell ref="BG612:BH612"/>
    <mergeCell ref="BN611:BR611"/>
    <mergeCell ref="CC610:CG610"/>
    <mergeCell ref="CH610:CL610"/>
    <mergeCell ref="BX611:CB611"/>
    <mergeCell ref="BK610:BL610"/>
    <mergeCell ref="BS610:BW610"/>
    <mergeCell ref="AE574:AH574"/>
    <mergeCell ref="AM574:AS574"/>
    <mergeCell ref="B576:AL576"/>
    <mergeCell ref="T575:V575"/>
    <mergeCell ref="AM575:AS575"/>
    <mergeCell ref="Z606:AK606"/>
    <mergeCell ref="AF584:AK584"/>
    <mergeCell ref="Z595:AK595"/>
    <mergeCell ref="N593:O593"/>
    <mergeCell ref="G603:R603"/>
    <mergeCell ref="AM576:AS576"/>
    <mergeCell ref="G611:R611"/>
    <mergeCell ref="Z607:AE607"/>
    <mergeCell ref="G604:R604"/>
    <mergeCell ref="P615:R615"/>
    <mergeCell ref="AG593:AH593"/>
    <mergeCell ref="Z605:AK605"/>
    <mergeCell ref="BX614:CB614"/>
    <mergeCell ref="CC614:CG614"/>
    <mergeCell ref="BK618:BL618"/>
    <mergeCell ref="BN619:BR619"/>
    <mergeCell ref="BK620:BL620"/>
    <mergeCell ref="BN620:BR620"/>
    <mergeCell ref="CH609:CL609"/>
    <mergeCell ref="BK614:BL614"/>
    <mergeCell ref="CC609:CG609"/>
    <mergeCell ref="CC612:CG612"/>
    <mergeCell ref="CH613:CL613"/>
    <mergeCell ref="BS609:BW609"/>
    <mergeCell ref="BX609:CB609"/>
    <mergeCell ref="BX612:CB612"/>
    <mergeCell ref="BK613:BL613"/>
    <mergeCell ref="CC613:CG613"/>
    <mergeCell ref="BN614:BR614"/>
    <mergeCell ref="CC615:CG615"/>
    <mergeCell ref="BS617:BW617"/>
    <mergeCell ref="BS615:BW615"/>
    <mergeCell ref="BX615:CB615"/>
    <mergeCell ref="CH617:CL617"/>
    <mergeCell ref="BX627:CB627"/>
    <mergeCell ref="CH625:CL625"/>
    <mergeCell ref="BS626:BW626"/>
    <mergeCell ref="BI624:BJ624"/>
    <mergeCell ref="BS620:BW620"/>
    <mergeCell ref="CH624:CL624"/>
    <mergeCell ref="BX619:CB619"/>
    <mergeCell ref="BK619:BL619"/>
    <mergeCell ref="BG622:BH622"/>
    <mergeCell ref="CH611:CL611"/>
    <mergeCell ref="BX610:CB610"/>
    <mergeCell ref="CC620:CG620"/>
    <mergeCell ref="BS621:BW621"/>
    <mergeCell ref="BN621:BR621"/>
    <mergeCell ref="BN615:BR615"/>
    <mergeCell ref="BS619:BW619"/>
    <mergeCell ref="CC622:CG622"/>
    <mergeCell ref="CC619:CG619"/>
    <mergeCell ref="BX620:CB620"/>
    <mergeCell ref="BG616:BH616"/>
    <mergeCell ref="BI616:BJ616"/>
    <mergeCell ref="BG618:BH618"/>
    <mergeCell ref="CH618:CL618"/>
    <mergeCell ref="CH614:CL614"/>
    <mergeCell ref="CH612:CL612"/>
    <mergeCell ref="BN613:BR613"/>
    <mergeCell ref="BX613:CB613"/>
    <mergeCell ref="BG620:BH620"/>
    <mergeCell ref="BI620:BJ620"/>
    <mergeCell ref="BK622:BL622"/>
    <mergeCell ref="BG621:BH621"/>
    <mergeCell ref="CH621:CL621"/>
    <mergeCell ref="CM623:CQ623"/>
    <mergeCell ref="CM624:CQ624"/>
    <mergeCell ref="CM617:CQ617"/>
    <mergeCell ref="CM618:CQ618"/>
    <mergeCell ref="CM619:CQ619"/>
    <mergeCell ref="CM620:CQ620"/>
    <mergeCell ref="CM613:CQ613"/>
    <mergeCell ref="CM614:CQ614"/>
    <mergeCell ref="CM615:CQ615"/>
    <mergeCell ref="CM616:CQ616"/>
    <mergeCell ref="BK617:BL617"/>
    <mergeCell ref="BX617:CB617"/>
    <mergeCell ref="CC617:CG617"/>
    <mergeCell ref="BN618:BR618"/>
    <mergeCell ref="BS618:BW618"/>
    <mergeCell ref="CC616:CG616"/>
    <mergeCell ref="CH616:CL616"/>
    <mergeCell ref="BX616:CB616"/>
    <mergeCell ref="BS616:BW616"/>
    <mergeCell ref="BK616:BL616"/>
    <mergeCell ref="BN617:BR617"/>
    <mergeCell ref="BN622:BR622"/>
    <mergeCell ref="BN623:BR623"/>
    <mergeCell ref="CC624:CG624"/>
    <mergeCell ref="BX618:CB618"/>
    <mergeCell ref="CC623:CG623"/>
    <mergeCell ref="BS624:BW624"/>
    <mergeCell ref="BX624:CB624"/>
    <mergeCell ref="BS622:BW622"/>
    <mergeCell ref="BX622:CB622"/>
    <mergeCell ref="CH622:CL622"/>
    <mergeCell ref="BS614:BW614"/>
    <mergeCell ref="CM625:CQ625"/>
    <mergeCell ref="CM626:CQ626"/>
    <mergeCell ref="CM627:CQ627"/>
    <mergeCell ref="CM628:CQ628"/>
    <mergeCell ref="CM629:CQ629"/>
    <mergeCell ref="CM630:CQ630"/>
    <mergeCell ref="CM632:CQ632"/>
    <mergeCell ref="CH632:CL632"/>
    <mergeCell ref="CC628:CG628"/>
    <mergeCell ref="BK632:BL632"/>
    <mergeCell ref="BN631:BR631"/>
    <mergeCell ref="BS631:BW631"/>
    <mergeCell ref="BG627:BH627"/>
    <mergeCell ref="BN627:BR627"/>
    <mergeCell ref="BE620:BF620"/>
    <mergeCell ref="CM609:CQ609"/>
    <mergeCell ref="CM610:CQ610"/>
    <mergeCell ref="CM611:CQ611"/>
    <mergeCell ref="CM612:CQ612"/>
    <mergeCell ref="CC611:CG611"/>
    <mergeCell ref="BS613:BW613"/>
    <mergeCell ref="CC618:CG618"/>
    <mergeCell ref="BE629:BF629"/>
    <mergeCell ref="BI625:BJ625"/>
    <mergeCell ref="BK625:BL625"/>
    <mergeCell ref="BG625:BH625"/>
    <mergeCell ref="BG629:BH629"/>
    <mergeCell ref="BX623:CB623"/>
    <mergeCell ref="BK623:BL623"/>
    <mergeCell ref="BI623:BJ623"/>
    <mergeCell ref="BI622:BJ622"/>
    <mergeCell ref="CM622:CQ622"/>
    <mergeCell ref="CC633:CG633"/>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BS641:BW641"/>
    <mergeCell ref="BS654:BW654"/>
    <mergeCell ref="BS642:BW642"/>
    <mergeCell ref="BS643:BW643"/>
    <mergeCell ref="BX642:CB642"/>
    <mergeCell ref="BX643:CB643"/>
    <mergeCell ref="CC643:CG643"/>
    <mergeCell ref="CH643:CL643"/>
    <mergeCell ref="BN642:BR642"/>
    <mergeCell ref="CC652:CG652"/>
    <mergeCell ref="CC653:CG653"/>
    <mergeCell ref="Z582:AE582"/>
    <mergeCell ref="AA592:AK592"/>
    <mergeCell ref="AA600:AK600"/>
    <mergeCell ref="Z603:AK603"/>
    <mergeCell ref="CM633:CQ633"/>
    <mergeCell ref="CH633:CL633"/>
    <mergeCell ref="CH628:CL628"/>
    <mergeCell ref="BN629:BR629"/>
    <mergeCell ref="BE624:BF624"/>
    <mergeCell ref="BI621:BJ621"/>
    <mergeCell ref="AM573:AS573"/>
    <mergeCell ref="CH631:CL631"/>
    <mergeCell ref="BI632:BJ632"/>
    <mergeCell ref="BN625:BR625"/>
    <mergeCell ref="BX626:CB626"/>
    <mergeCell ref="CC626:CG626"/>
    <mergeCell ref="BN630:BR630"/>
    <mergeCell ref="BS630:BW630"/>
    <mergeCell ref="BX630:CB630"/>
    <mergeCell ref="CH620:CL620"/>
    <mergeCell ref="CH623:CL623"/>
    <mergeCell ref="CM631:CQ631"/>
    <mergeCell ref="BE628:BF628"/>
    <mergeCell ref="BX629:CB629"/>
    <mergeCell ref="CC629:CG629"/>
    <mergeCell ref="BX631:CB631"/>
    <mergeCell ref="CC631:CG631"/>
    <mergeCell ref="BX632:CB632"/>
    <mergeCell ref="BN632:BR632"/>
    <mergeCell ref="BS632:BW632"/>
    <mergeCell ref="BG631:BH631"/>
    <mergeCell ref="BI631:BJ631"/>
    <mergeCell ref="BE623:BF623"/>
    <mergeCell ref="BN641:BR641"/>
    <mergeCell ref="BG632:BH632"/>
    <mergeCell ref="BE621:BF621"/>
    <mergeCell ref="BG624:BH624"/>
    <mergeCell ref="BE617:BF617"/>
    <mergeCell ref="BE614:BF614"/>
    <mergeCell ref="BG635:BH635"/>
    <mergeCell ref="BK635:BL635"/>
    <mergeCell ref="BN635:BR635"/>
    <mergeCell ref="BS635:BW635"/>
    <mergeCell ref="BK634:BL634"/>
    <mergeCell ref="BN634:BR634"/>
    <mergeCell ref="BK631:BL631"/>
    <mergeCell ref="BI619:BJ619"/>
    <mergeCell ref="BG623:BH623"/>
    <mergeCell ref="BI617:BJ617"/>
    <mergeCell ref="BI627:BJ627"/>
    <mergeCell ref="BK627:BL627"/>
    <mergeCell ref="BI626:BJ626"/>
    <mergeCell ref="BK626:BL626"/>
    <mergeCell ref="BG619:BH619"/>
    <mergeCell ref="BN633:BR633"/>
    <mergeCell ref="CH626:CL626"/>
    <mergeCell ref="CH627:CL627"/>
    <mergeCell ref="BE622:BF622"/>
    <mergeCell ref="AM568:AS568"/>
    <mergeCell ref="AC532:AF532"/>
    <mergeCell ref="AC554:AF554"/>
    <mergeCell ref="Q569:S569"/>
    <mergeCell ref="Q570:S570"/>
    <mergeCell ref="Q565:S565"/>
    <mergeCell ref="AC539:AF539"/>
    <mergeCell ref="AC535:AF535"/>
    <mergeCell ref="AI573:AL573"/>
    <mergeCell ref="CH644:CL644"/>
    <mergeCell ref="CC630:CG630"/>
    <mergeCell ref="CC632:CG632"/>
    <mergeCell ref="BX625:CB625"/>
    <mergeCell ref="CC625:CG625"/>
    <mergeCell ref="BI618:BJ618"/>
    <mergeCell ref="BN626:BR626"/>
    <mergeCell ref="BS623:BW623"/>
    <mergeCell ref="BG617:BH617"/>
    <mergeCell ref="BX621:CB621"/>
    <mergeCell ref="CC621:CG621"/>
    <mergeCell ref="AG617:AH617"/>
    <mergeCell ref="G580:R580"/>
    <mergeCell ref="AI566:AL566"/>
    <mergeCell ref="W568:Y568"/>
    <mergeCell ref="Q567:S567"/>
    <mergeCell ref="Q568:S568"/>
    <mergeCell ref="AE573:AH573"/>
    <mergeCell ref="AE571:AH571"/>
    <mergeCell ref="BE631:BF631"/>
    <mergeCell ref="C574:P574"/>
    <mergeCell ref="C575:P575"/>
    <mergeCell ref="T573:V573"/>
    <mergeCell ref="Z571:AD571"/>
    <mergeCell ref="O532:AA532"/>
    <mergeCell ref="AI567:AL567"/>
    <mergeCell ref="W570:Y570"/>
    <mergeCell ref="C568:P568"/>
    <mergeCell ref="AI570:AL570"/>
    <mergeCell ref="AE570:AH570"/>
    <mergeCell ref="AM563:AS563"/>
    <mergeCell ref="B532:H554"/>
    <mergeCell ref="Q564:S564"/>
    <mergeCell ref="C567:P567"/>
    <mergeCell ref="AE568:AH568"/>
    <mergeCell ref="AI568:AL568"/>
    <mergeCell ref="T567:V567"/>
    <mergeCell ref="W564:Y564"/>
    <mergeCell ref="AM566:AS566"/>
    <mergeCell ref="W569:Y569"/>
    <mergeCell ref="AH545:AK545"/>
    <mergeCell ref="O547:AA547"/>
    <mergeCell ref="AH548:AK548"/>
    <mergeCell ref="AH535:AK535"/>
    <mergeCell ref="AC534:AF534"/>
    <mergeCell ref="AH534:AK534"/>
    <mergeCell ref="AH542:AK542"/>
    <mergeCell ref="AH553:AK553"/>
    <mergeCell ref="AC547:AF547"/>
    <mergeCell ref="AE563:AH563"/>
    <mergeCell ref="Z563:AD563"/>
    <mergeCell ref="AC538:AF538"/>
    <mergeCell ref="W573:Y573"/>
    <mergeCell ref="AH547:AK547"/>
    <mergeCell ref="AH549:AK549"/>
    <mergeCell ref="AC540:AF540"/>
    <mergeCell ref="O541:AA541"/>
    <mergeCell ref="AC530:AF530"/>
    <mergeCell ref="W565:Y565"/>
    <mergeCell ref="Z568:AD568"/>
    <mergeCell ref="Z567:AD567"/>
    <mergeCell ref="AC541:AF541"/>
    <mergeCell ref="AH539:AK539"/>
    <mergeCell ref="O544:AA544"/>
    <mergeCell ref="AH551:AK551"/>
    <mergeCell ref="AH520:AK520"/>
    <mergeCell ref="AH550:AK550"/>
    <mergeCell ref="AH552:AK552"/>
    <mergeCell ref="AC552:AF552"/>
    <mergeCell ref="AC551:AF551"/>
    <mergeCell ref="C573:P573"/>
    <mergeCell ref="AE569:AH569"/>
    <mergeCell ref="AI569:AL569"/>
    <mergeCell ref="AC546:AF546"/>
    <mergeCell ref="AC542:AF542"/>
    <mergeCell ref="C566:P566"/>
    <mergeCell ref="AH541:AK541"/>
    <mergeCell ref="C564:P564"/>
    <mergeCell ref="AC543:AF543"/>
    <mergeCell ref="T563:V563"/>
    <mergeCell ref="Q505:AK505"/>
    <mergeCell ref="C565:P565"/>
    <mergeCell ref="T571:V571"/>
    <mergeCell ref="T572:V572"/>
    <mergeCell ref="AH554:AK554"/>
    <mergeCell ref="AC516:AF516"/>
    <mergeCell ref="T564:V564"/>
    <mergeCell ref="AH527:AK527"/>
    <mergeCell ref="AI565:AL565"/>
    <mergeCell ref="AI564:AL564"/>
    <mergeCell ref="AE566:AH566"/>
    <mergeCell ref="B515:H520"/>
    <mergeCell ref="AC520:AF520"/>
    <mergeCell ref="AH528:AK528"/>
    <mergeCell ref="AC519:AF519"/>
    <mergeCell ref="AH519:AK519"/>
    <mergeCell ref="AC549:AF549"/>
    <mergeCell ref="W563:Y563"/>
    <mergeCell ref="AC548:AF548"/>
    <mergeCell ref="AC526:AF526"/>
    <mergeCell ref="AC528:AF528"/>
    <mergeCell ref="T568:V568"/>
    <mergeCell ref="AI571:AL571"/>
    <mergeCell ref="AE572:AH572"/>
    <mergeCell ref="AI572:AL572"/>
    <mergeCell ref="AC553:AF553"/>
    <mergeCell ref="AH530:AK530"/>
    <mergeCell ref="W571:Y571"/>
    <mergeCell ref="W572:Y572"/>
    <mergeCell ref="AH514:AK514"/>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W566:Y566"/>
    <mergeCell ref="AH512:AK512"/>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Q392:U392"/>
    <mergeCell ref="Y491:AC491"/>
    <mergeCell ref="AH521:AK521"/>
    <mergeCell ref="AC522:AF522"/>
    <mergeCell ref="AH522:AK522"/>
    <mergeCell ref="AC524:AF524"/>
    <mergeCell ref="AH524:AK524"/>
    <mergeCell ref="AG438:AJ438"/>
    <mergeCell ref="BE618:BF618"/>
    <mergeCell ref="BE616:BF616"/>
    <mergeCell ref="BE625:BF625"/>
    <mergeCell ref="BS652:BW652"/>
    <mergeCell ref="BX655:CB655"/>
    <mergeCell ref="AH513:AK513"/>
    <mergeCell ref="BS644:BW644"/>
    <mergeCell ref="BE615:BF615"/>
    <mergeCell ref="BE619:BF619"/>
    <mergeCell ref="AA616:AK616"/>
    <mergeCell ref="BN643:BR643"/>
    <mergeCell ref="BN644:BR644"/>
    <mergeCell ref="BE632:BF632"/>
    <mergeCell ref="BI629:BJ629"/>
    <mergeCell ref="BK629:BL629"/>
    <mergeCell ref="BE634:BF634"/>
    <mergeCell ref="BG615:BH615"/>
    <mergeCell ref="BI615:BJ615"/>
    <mergeCell ref="AC531:AF531"/>
    <mergeCell ref="AC533:AF533"/>
    <mergeCell ref="AE575:AH575"/>
    <mergeCell ref="AM569:AS569"/>
    <mergeCell ref="BS629:BW629"/>
    <mergeCell ref="BE633:BF633"/>
    <mergeCell ref="BE627:BF627"/>
    <mergeCell ref="BI630:BJ630"/>
    <mergeCell ref="BK630:BL630"/>
    <mergeCell ref="BE626:BF626"/>
    <mergeCell ref="BS625:BW625"/>
    <mergeCell ref="BS627:BW627"/>
    <mergeCell ref="BG626:BH626"/>
    <mergeCell ref="BK621:BL621"/>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P599:R599"/>
    <mergeCell ref="AI591:AK591"/>
    <mergeCell ref="Z590:AK590"/>
    <mergeCell ref="AG601:AH601"/>
    <mergeCell ref="G615:L615"/>
    <mergeCell ref="Z564:AD564"/>
    <mergeCell ref="Z565:AD565"/>
    <mergeCell ref="AC521:AF521"/>
    <mergeCell ref="AM570:AS570"/>
    <mergeCell ref="Z579:AK579"/>
    <mergeCell ref="Z572:AD572"/>
    <mergeCell ref="Z573:AD573"/>
    <mergeCell ref="AI575:AL575"/>
    <mergeCell ref="AI574:AL574"/>
    <mergeCell ref="D445:AF445"/>
    <mergeCell ref="U637:W637"/>
    <mergeCell ref="AC639:AE639"/>
    <mergeCell ref="B526:H528"/>
    <mergeCell ref="AM572:AS572"/>
    <mergeCell ref="AD494:AH494"/>
    <mergeCell ref="AC514:AF514"/>
    <mergeCell ref="AA915:AF915"/>
    <mergeCell ref="AA922:AF922"/>
    <mergeCell ref="AA931:AF931"/>
    <mergeCell ref="AA925:AF925"/>
    <mergeCell ref="AA918:AF918"/>
    <mergeCell ref="AA923:AF923"/>
    <mergeCell ref="AA928:AF928"/>
    <mergeCell ref="AA929:AF929"/>
    <mergeCell ref="AA916:AF916"/>
    <mergeCell ref="AA920:AF920"/>
    <mergeCell ref="Z613:AK613"/>
    <mergeCell ref="AC745:AG745"/>
    <mergeCell ref="K751:N751"/>
    <mergeCell ref="K752:N752"/>
    <mergeCell ref="T747:X747"/>
    <mergeCell ref="T748:X748"/>
    <mergeCell ref="AO644:AS644"/>
    <mergeCell ref="H616:R616"/>
    <mergeCell ref="AO634:AS636"/>
    <mergeCell ref="G685:R685"/>
    <mergeCell ref="AA658:AK658"/>
    <mergeCell ref="H658:R658"/>
    <mergeCell ref="G657:L657"/>
    <mergeCell ref="P657:R657"/>
    <mergeCell ref="Q501:R502"/>
    <mergeCell ref="Q500:AK500"/>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49" zoomScaleNormal="100" zoomScaleSheetLayoutView="100" workbookViewId="0">
      <selection activeCell="N62" sqref="N62"/>
    </sheetView>
  </sheetViews>
  <sheetFormatPr defaultColWidth="0" defaultRowHeight="12" zeroHeight="1"/>
  <cols>
    <col min="1" max="1" width="35.7109375" style="297" customWidth="1"/>
    <col min="2" max="12" width="12.140625" style="228" customWidth="1"/>
    <col min="13" max="17" width="11.28515625" style="228" customWidth="1"/>
    <col min="18" max="18" width="12.7109375" style="228" customWidth="1"/>
    <col min="19" max="20" width="12.140625" style="228" customWidth="1"/>
    <col min="21" max="21" width="0.28515625" style="231" customWidth="1"/>
    <col min="22" max="16383" width="8.85546875" style="228" hidden="1"/>
    <col min="16384" max="16384" width="0.140625" style="228" customWidth="1"/>
  </cols>
  <sheetData>
    <row r="1" spans="1:21" s="166" customFormat="1" ht="13.5">
      <c r="A1" s="245" t="s">
        <v>581</v>
      </c>
      <c r="B1" s="189"/>
      <c r="C1" s="189"/>
      <c r="D1" s="189"/>
      <c r="E1" s="190"/>
      <c r="F1" s="2580" t="s">
        <v>655</v>
      </c>
      <c r="G1" s="2581"/>
      <c r="H1" s="2581"/>
      <c r="I1" s="2581"/>
      <c r="J1" s="2581"/>
      <c r="K1" s="2581"/>
      <c r="L1" s="2581"/>
      <c r="M1" s="2581"/>
      <c r="N1" s="2581"/>
      <c r="O1" s="2581"/>
      <c r="P1" s="2581"/>
      <c r="Q1" s="2581"/>
      <c r="R1" s="2582"/>
      <c r="S1" s="168"/>
      <c r="T1" s="167"/>
      <c r="U1" s="169"/>
    </row>
    <row r="2" spans="1:21" s="208" customFormat="1" ht="71.25" customHeight="1">
      <c r="A2" s="207"/>
      <c r="B2" s="208" t="s">
        <v>24</v>
      </c>
      <c r="C2" s="208" t="s">
        <v>391</v>
      </c>
      <c r="D2" s="208" t="s">
        <v>390</v>
      </c>
      <c r="E2" s="208" t="s">
        <v>25</v>
      </c>
      <c r="F2" s="209" t="str">
        <f>Application!B637&amp;Application!C637</f>
        <v>1)CCRC Permanent Loan</v>
      </c>
      <c r="G2" s="209" t="str">
        <f>Application!B638&amp;Application!C638</f>
        <v>2)HCD AHSC Loan</v>
      </c>
      <c r="H2" s="209" t="str">
        <f>Application!B639&amp;Application!C639</f>
        <v>3)HCD AHSC Grant - HRI</v>
      </c>
      <c r="I2" s="209" t="str">
        <f>Application!B640&amp;Application!C640</f>
        <v>4)City of Riverside</v>
      </c>
      <c r="J2" s="209" t="str">
        <f>Application!B641&amp;Application!C641</f>
        <v>5)CDLAC Performance Deposit Refund</v>
      </c>
      <c r="K2" s="209" t="str">
        <f>Application!B642&amp;Application!C642</f>
        <v>6)GP Capital Contribution</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2655000</v>
      </c>
      <c r="C4" s="217">
        <v>2655000</v>
      </c>
      <c r="D4" s="217"/>
      <c r="E4" s="217">
        <f>C4</f>
        <v>2655000</v>
      </c>
      <c r="F4" s="217"/>
      <c r="G4" s="217"/>
      <c r="H4" s="217"/>
      <c r="I4" s="217"/>
      <c r="J4" s="217"/>
      <c r="K4" s="217"/>
      <c r="L4" s="217"/>
      <c r="M4" s="217"/>
      <c r="N4" s="217"/>
      <c r="O4" s="217"/>
      <c r="P4" s="217"/>
      <c r="Q4" s="217"/>
      <c r="R4" s="878">
        <f>SUM(E4:Q4)</f>
        <v>2655000</v>
      </c>
      <c r="S4" s="218"/>
      <c r="T4" s="218"/>
      <c r="U4" s="213"/>
    </row>
    <row r="5" spans="1:21" s="214" customFormat="1">
      <c r="A5" s="215" t="s">
        <v>29</v>
      </c>
      <c r="B5" s="216">
        <f>SUM(C5+D5)</f>
        <v>306280</v>
      </c>
      <c r="C5" s="217">
        <v>306280</v>
      </c>
      <c r="D5" s="217"/>
      <c r="E5" s="217">
        <f t="shared" ref="E5:E6" si="0">C5</f>
        <v>306280</v>
      </c>
      <c r="F5" s="217"/>
      <c r="G5" s="217"/>
      <c r="H5" s="217"/>
      <c r="I5" s="217"/>
      <c r="J5" s="217"/>
      <c r="K5" s="217"/>
      <c r="L5" s="217"/>
      <c r="M5" s="217"/>
      <c r="N5" s="217"/>
      <c r="O5" s="217"/>
      <c r="P5" s="217"/>
      <c r="Q5" s="217"/>
      <c r="R5" s="878">
        <f>SUM(E5:Q5)</f>
        <v>306280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627</v>
      </c>
      <c r="B8" s="216">
        <f>SUM(C8:D8)</f>
        <v>2961280</v>
      </c>
      <c r="C8" s="216">
        <f t="shared" ref="C8:Q8" si="1">SUM(C4:C7)</f>
        <v>2961280</v>
      </c>
      <c r="D8" s="216">
        <f t="shared" si="1"/>
        <v>0</v>
      </c>
      <c r="E8" s="216">
        <f t="shared" si="1"/>
        <v>2961280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3">
        <f>SUM(R4:R7)</f>
        <v>2961280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8">
        <f>SUM(E10:Q10)</f>
        <v>0</v>
      </c>
      <c r="S10" s="217"/>
      <c r="T10" s="217"/>
      <c r="U10" s="213"/>
    </row>
    <row r="11" spans="1:21" s="214" customFormat="1">
      <c r="A11" s="219" t="s">
        <v>630</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3">
        <f>SUM(R9:R10)</f>
        <v>0</v>
      </c>
      <c r="S11" s="218"/>
      <c r="T11" s="220">
        <f>SUM(T9:T10)</f>
        <v>0</v>
      </c>
      <c r="U11" s="213"/>
    </row>
    <row r="12" spans="1:21" s="214" customFormat="1">
      <c r="A12" s="219" t="s">
        <v>89</v>
      </c>
      <c r="B12" s="216">
        <f t="shared" ref="B12:Q12" si="3">SUM(B8+B11)</f>
        <v>2961280</v>
      </c>
      <c r="C12" s="216">
        <f t="shared" si="3"/>
        <v>2961280</v>
      </c>
      <c r="D12" s="216">
        <f t="shared" si="3"/>
        <v>0</v>
      </c>
      <c r="E12" s="216">
        <f t="shared" si="3"/>
        <v>2961280</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3">
        <f>SUM(R8+R11)</f>
        <v>2961280</v>
      </c>
      <c r="S12" s="218"/>
      <c r="T12" s="218"/>
      <c r="U12" s="213"/>
    </row>
    <row r="13" spans="1:21" s="214" customFormat="1">
      <c r="A13" s="448" t="s">
        <v>970</v>
      </c>
      <c r="B13" s="216">
        <f>SUM(C13+D13)</f>
        <v>285000</v>
      </c>
      <c r="C13" s="217">
        <f>75000+210000</f>
        <v>285000</v>
      </c>
      <c r="D13" s="217"/>
      <c r="E13" s="217">
        <f>C13</f>
        <v>285000</v>
      </c>
      <c r="F13" s="217"/>
      <c r="G13" s="217"/>
      <c r="H13" s="217"/>
      <c r="I13" s="217"/>
      <c r="J13" s="217"/>
      <c r="K13" s="217"/>
      <c r="L13" s="217"/>
      <c r="M13" s="217"/>
      <c r="N13" s="217"/>
      <c r="O13" s="217"/>
      <c r="P13" s="217"/>
      <c r="Q13" s="217"/>
      <c r="R13" s="878">
        <f>SUM(E13:Q13)</f>
        <v>285000</v>
      </c>
      <c r="S13" s="217"/>
      <c r="T13" s="217"/>
      <c r="U13" s="213"/>
    </row>
    <row r="14" spans="1:21" s="214" customFormat="1" ht="24">
      <c r="A14" s="449" t="s">
        <v>1994</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1354</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4">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633</v>
      </c>
      <c r="B18" s="216">
        <f t="shared" si="4"/>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634</v>
      </c>
      <c r="B19" s="216">
        <f t="shared" si="4"/>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78">
        <f t="shared" ref="R20:R27" si="5">SUM(E20:Q20)</f>
        <v>0</v>
      </c>
      <c r="S20" s="217"/>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78">
        <f t="shared" si="5"/>
        <v>0</v>
      </c>
      <c r="S21" s="217"/>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78">
        <f t="shared" si="5"/>
        <v>0</v>
      </c>
      <c r="S22" s="217"/>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78">
        <f t="shared" si="5"/>
        <v>0</v>
      </c>
      <c r="S23" s="217"/>
      <c r="T23" s="217"/>
      <c r="U23" s="213"/>
    </row>
    <row r="24" spans="1:21" s="214" customFormat="1">
      <c r="A24" s="857" t="s">
        <v>1991</v>
      </c>
      <c r="B24" s="216">
        <f t="shared" si="4"/>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1856" t="s">
        <v>174</v>
      </c>
      <c r="B25" s="216">
        <f t="shared" si="4"/>
        <v>0</v>
      </c>
      <c r="C25" s="217"/>
      <c r="D25" s="217"/>
      <c r="E25" s="217"/>
      <c r="F25" s="217"/>
      <c r="G25" s="217"/>
      <c r="H25" s="217"/>
      <c r="I25" s="217"/>
      <c r="J25" s="217"/>
      <c r="K25" s="217"/>
      <c r="L25" s="217"/>
      <c r="M25" s="217"/>
      <c r="N25" s="217"/>
      <c r="O25" s="217"/>
      <c r="P25" s="217"/>
      <c r="Q25" s="217"/>
      <c r="R25" s="878">
        <f t="shared" si="5"/>
        <v>0</v>
      </c>
      <c r="S25" s="217"/>
      <c r="T25" s="217"/>
      <c r="U25" s="213"/>
    </row>
    <row r="26" spans="1:21" s="214" customFormat="1">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7">SUM(C29+D29)</f>
        <v>2365234</v>
      </c>
      <c r="C29" s="217">
        <v>2365234</v>
      </c>
      <c r="D29" s="217"/>
      <c r="E29" s="217">
        <f>2043844</f>
        <v>2043844</v>
      </c>
      <c r="F29" s="217"/>
      <c r="G29" s="217">
        <f>+C29-E29</f>
        <v>321390</v>
      </c>
      <c r="H29" s="217"/>
      <c r="I29" s="217"/>
      <c r="J29" s="217"/>
      <c r="K29" s="217"/>
      <c r="L29" s="217"/>
      <c r="M29" s="217"/>
      <c r="N29" s="217"/>
      <c r="O29" s="217"/>
      <c r="P29" s="217"/>
      <c r="Q29" s="217"/>
      <c r="R29" s="878">
        <f t="shared" ref="R29:R37" si="8">SUM(E29:Q29)</f>
        <v>2365234</v>
      </c>
      <c r="S29" s="217">
        <f>R29</f>
        <v>2365234</v>
      </c>
      <c r="T29" s="217"/>
      <c r="U29" s="213"/>
    </row>
    <row r="30" spans="1:21" s="214" customFormat="1">
      <c r="A30" s="215" t="s">
        <v>633</v>
      </c>
      <c r="B30" s="216">
        <f t="shared" si="7"/>
        <v>20364352</v>
      </c>
      <c r="C30" s="217">
        <v>20364352</v>
      </c>
      <c r="D30" s="217"/>
      <c r="E30" s="217"/>
      <c r="F30" s="217">
        <v>3134700</v>
      </c>
      <c r="G30" s="217">
        <v>9994652</v>
      </c>
      <c r="H30" s="217">
        <v>3235000</v>
      </c>
      <c r="I30" s="217">
        <v>4000000</v>
      </c>
      <c r="J30" s="217"/>
      <c r="K30" s="217"/>
      <c r="L30" s="217"/>
      <c r="M30" s="217"/>
      <c r="N30" s="217"/>
      <c r="O30" s="217"/>
      <c r="P30" s="217"/>
      <c r="Q30" s="217"/>
      <c r="R30" s="878">
        <f t="shared" si="8"/>
        <v>20364352</v>
      </c>
      <c r="S30" s="217">
        <f>R30</f>
        <v>20364352</v>
      </c>
      <c r="T30" s="217"/>
      <c r="U30" s="213"/>
    </row>
    <row r="31" spans="1:21" s="214" customFormat="1">
      <c r="A31" s="215" t="s">
        <v>634</v>
      </c>
      <c r="B31" s="216">
        <f t="shared" si="7"/>
        <v>670459</v>
      </c>
      <c r="C31" s="217">
        <v>670459</v>
      </c>
      <c r="D31" s="217"/>
      <c r="E31" s="217">
        <f>C31</f>
        <v>670459</v>
      </c>
      <c r="F31" s="217"/>
      <c r="G31" s="217"/>
      <c r="H31" s="217"/>
      <c r="I31" s="217"/>
      <c r="J31" s="217"/>
      <c r="K31" s="217"/>
      <c r="L31" s="217"/>
      <c r="M31" s="217"/>
      <c r="N31" s="217"/>
      <c r="O31" s="217"/>
      <c r="P31" s="217"/>
      <c r="Q31" s="217"/>
      <c r="R31" s="878">
        <f t="shared" si="8"/>
        <v>670459</v>
      </c>
      <c r="S31" s="217">
        <f>R31</f>
        <v>670459</v>
      </c>
      <c r="T31" s="217"/>
      <c r="U31" s="213"/>
    </row>
    <row r="32" spans="1:21" s="214" customFormat="1">
      <c r="A32" s="215" t="s">
        <v>142</v>
      </c>
      <c r="B32" s="216">
        <f t="shared" si="7"/>
        <v>383412</v>
      </c>
      <c r="C32" s="217">
        <v>383412</v>
      </c>
      <c r="D32" s="217"/>
      <c r="E32" s="217">
        <f>C32</f>
        <v>383412</v>
      </c>
      <c r="F32" s="217"/>
      <c r="G32" s="217"/>
      <c r="H32" s="217"/>
      <c r="I32" s="217"/>
      <c r="J32" s="217"/>
      <c r="K32" s="217"/>
      <c r="L32" s="217"/>
      <c r="M32" s="217"/>
      <c r="N32" s="217"/>
      <c r="O32" s="217"/>
      <c r="P32" s="217"/>
      <c r="Q32" s="217"/>
      <c r="R32" s="878">
        <f t="shared" si="8"/>
        <v>383412</v>
      </c>
      <c r="S32" s="217">
        <f>R32</f>
        <v>383412</v>
      </c>
      <c r="T32" s="217"/>
      <c r="U32" s="213"/>
    </row>
    <row r="33" spans="1:21" s="214" customFormat="1">
      <c r="A33" s="215" t="s">
        <v>143</v>
      </c>
      <c r="B33" s="216">
        <f t="shared" si="7"/>
        <v>1232519</v>
      </c>
      <c r="C33" s="217">
        <v>1232519</v>
      </c>
      <c r="D33" s="217"/>
      <c r="E33" s="217">
        <f>C33</f>
        <v>1232519</v>
      </c>
      <c r="F33" s="217"/>
      <c r="G33" s="217"/>
      <c r="H33" s="217"/>
      <c r="I33" s="217"/>
      <c r="J33" s="217"/>
      <c r="K33" s="217"/>
      <c r="L33" s="217"/>
      <c r="M33" s="217"/>
      <c r="N33" s="217"/>
      <c r="O33" s="217"/>
      <c r="P33" s="217"/>
      <c r="Q33" s="217"/>
      <c r="R33" s="878">
        <f t="shared" si="8"/>
        <v>1232519</v>
      </c>
      <c r="S33" s="217">
        <f>R33</f>
        <v>1232519</v>
      </c>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78">
        <f t="shared" si="8"/>
        <v>0</v>
      </c>
      <c r="S34" s="217"/>
      <c r="T34" s="217"/>
      <c r="U34" s="213"/>
    </row>
    <row r="35" spans="1:21" s="214" customFormat="1">
      <c r="A35" s="215" t="s">
        <v>145</v>
      </c>
      <c r="B35" s="216">
        <f t="shared" si="7"/>
        <v>559519</v>
      </c>
      <c r="C35" s="217">
        <v>559519</v>
      </c>
      <c r="D35" s="217"/>
      <c r="E35" s="217">
        <f>C35</f>
        <v>559519</v>
      </c>
      <c r="F35" s="217"/>
      <c r="G35" s="217"/>
      <c r="H35" s="217"/>
      <c r="I35" s="217"/>
      <c r="J35" s="217"/>
      <c r="K35" s="217"/>
      <c r="L35" s="217"/>
      <c r="M35" s="217"/>
      <c r="N35" s="217"/>
      <c r="O35" s="217"/>
      <c r="P35" s="217"/>
      <c r="Q35" s="217"/>
      <c r="R35" s="878">
        <f t="shared" si="8"/>
        <v>559519</v>
      </c>
      <c r="S35" s="217">
        <f>R35</f>
        <v>559519</v>
      </c>
      <c r="T35" s="217"/>
      <c r="U35" s="213"/>
    </row>
    <row r="36" spans="1:21" s="214" customFormat="1">
      <c r="A36" s="1808" t="s">
        <v>1991</v>
      </c>
      <c r="B36" s="216">
        <f t="shared" si="7"/>
        <v>175000</v>
      </c>
      <c r="C36" s="217">
        <v>175000</v>
      </c>
      <c r="D36" s="217"/>
      <c r="E36" s="217">
        <f>C36</f>
        <v>175000</v>
      </c>
      <c r="F36" s="217"/>
      <c r="G36" s="217"/>
      <c r="H36" s="217"/>
      <c r="I36" s="217"/>
      <c r="J36" s="217"/>
      <c r="K36" s="217"/>
      <c r="L36" s="217"/>
      <c r="M36" s="217"/>
      <c r="N36" s="217"/>
      <c r="O36" s="217"/>
      <c r="P36" s="217"/>
      <c r="Q36" s="217"/>
      <c r="R36" s="878">
        <f t="shared" si="8"/>
        <v>175000</v>
      </c>
      <c r="S36" s="217">
        <f>R36</f>
        <v>175000</v>
      </c>
      <c r="T36" s="217"/>
      <c r="U36" s="213"/>
    </row>
    <row r="37" spans="1:21" s="214" customFormat="1">
      <c r="A37" s="1856" t="s">
        <v>2612</v>
      </c>
      <c r="B37" s="216">
        <f t="shared" si="7"/>
        <v>400000</v>
      </c>
      <c r="C37" s="217">
        <v>400000</v>
      </c>
      <c r="D37" s="217"/>
      <c r="E37" s="217">
        <f>C37</f>
        <v>400000</v>
      </c>
      <c r="F37" s="217"/>
      <c r="G37" s="217"/>
      <c r="H37" s="217"/>
      <c r="I37" s="217"/>
      <c r="J37" s="217"/>
      <c r="K37" s="217"/>
      <c r="L37" s="217"/>
      <c r="M37" s="217"/>
      <c r="N37" s="217"/>
      <c r="O37" s="217"/>
      <c r="P37" s="217"/>
      <c r="Q37" s="217"/>
      <c r="R37" s="878">
        <f t="shared" si="8"/>
        <v>400000</v>
      </c>
      <c r="S37" s="217">
        <f>R37</f>
        <v>400000</v>
      </c>
      <c r="T37" s="217"/>
      <c r="U37" s="213"/>
    </row>
    <row r="38" spans="1:21" s="214" customFormat="1">
      <c r="A38" s="219" t="s">
        <v>148</v>
      </c>
      <c r="B38" s="216">
        <f t="shared" si="7"/>
        <v>26150495</v>
      </c>
      <c r="C38" s="216">
        <f>SUM(C29:C37)</f>
        <v>26150495</v>
      </c>
      <c r="D38" s="216">
        <f t="shared" ref="D38:Q38" si="9">SUM(D29:D37)</f>
        <v>0</v>
      </c>
      <c r="E38" s="216">
        <f t="shared" si="9"/>
        <v>5464753</v>
      </c>
      <c r="F38" s="216">
        <f t="shared" si="9"/>
        <v>3134700</v>
      </c>
      <c r="G38" s="216">
        <f t="shared" si="9"/>
        <v>10316042</v>
      </c>
      <c r="H38" s="216">
        <f t="shared" si="9"/>
        <v>3235000</v>
      </c>
      <c r="I38" s="216">
        <f t="shared" si="9"/>
        <v>4000000</v>
      </c>
      <c r="J38" s="216">
        <f t="shared" si="9"/>
        <v>0</v>
      </c>
      <c r="K38" s="216">
        <f t="shared" si="9"/>
        <v>0</v>
      </c>
      <c r="L38" s="216">
        <f t="shared" si="9"/>
        <v>0</v>
      </c>
      <c r="M38" s="216">
        <f t="shared" si="9"/>
        <v>0</v>
      </c>
      <c r="N38" s="216">
        <f t="shared" si="9"/>
        <v>0</v>
      </c>
      <c r="O38" s="216">
        <f t="shared" si="9"/>
        <v>0</v>
      </c>
      <c r="P38" s="216">
        <f t="shared" si="9"/>
        <v>0</v>
      </c>
      <c r="Q38" s="216">
        <f t="shared" si="9"/>
        <v>0</v>
      </c>
      <c r="R38" s="533">
        <f>SUM(R29:R37)</f>
        <v>26150495</v>
      </c>
      <c r="S38" s="220">
        <f>SUM(S29:S37)</f>
        <v>26150495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525000</v>
      </c>
      <c r="C40" s="217">
        <v>525000</v>
      </c>
      <c r="D40" s="217"/>
      <c r="E40" s="217"/>
      <c r="F40" s="217"/>
      <c r="G40" s="217">
        <f>C40</f>
        <v>525000</v>
      </c>
      <c r="H40" s="217"/>
      <c r="I40" s="217"/>
      <c r="J40" s="217"/>
      <c r="K40" s="217"/>
      <c r="L40" s="217"/>
      <c r="M40" s="217"/>
      <c r="N40" s="217"/>
      <c r="O40" s="217"/>
      <c r="P40" s="217"/>
      <c r="Q40" s="217"/>
      <c r="R40" s="878">
        <f>SUM(E40:Q40)</f>
        <v>525000</v>
      </c>
      <c r="S40" s="217">
        <f>R40</f>
        <v>525000</v>
      </c>
      <c r="T40" s="217"/>
      <c r="U40" s="213"/>
    </row>
    <row r="41" spans="1:21" s="214" customFormat="1">
      <c r="A41" s="215" t="s">
        <v>151</v>
      </c>
      <c r="B41" s="216">
        <f>SUM(C41+D41)</f>
        <v>260000</v>
      </c>
      <c r="C41" s="217">
        <v>260000</v>
      </c>
      <c r="D41" s="217"/>
      <c r="E41" s="217"/>
      <c r="F41" s="217"/>
      <c r="G41" s="217">
        <f>C41</f>
        <v>260000</v>
      </c>
      <c r="H41" s="217"/>
      <c r="I41" s="217"/>
      <c r="J41" s="217"/>
      <c r="K41" s="217"/>
      <c r="L41" s="217"/>
      <c r="M41" s="217"/>
      <c r="N41" s="217"/>
      <c r="O41" s="217"/>
      <c r="P41" s="217"/>
      <c r="Q41" s="217"/>
      <c r="R41" s="878">
        <f>SUM(E41:Q41)</f>
        <v>260000</v>
      </c>
      <c r="S41" s="217">
        <f>R41</f>
        <v>260000</v>
      </c>
      <c r="T41" s="217"/>
      <c r="U41" s="213"/>
    </row>
    <row r="42" spans="1:21" s="214" customFormat="1">
      <c r="A42" s="219" t="s">
        <v>152</v>
      </c>
      <c r="B42" s="216">
        <f>SUM(C42:D42)</f>
        <v>785000</v>
      </c>
      <c r="C42" s="216">
        <f>SUM(C39:C41)</f>
        <v>785000</v>
      </c>
      <c r="D42" s="216">
        <f>SUM(D39:D41)</f>
        <v>0</v>
      </c>
      <c r="E42" s="216">
        <f t="shared" ref="E42:T42" si="10">SUM(E40:E41)</f>
        <v>0</v>
      </c>
      <c r="F42" s="216">
        <f t="shared" si="10"/>
        <v>0</v>
      </c>
      <c r="G42" s="216">
        <f t="shared" si="10"/>
        <v>785000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3">
        <f>SUM(R40:R41)</f>
        <v>785000</v>
      </c>
      <c r="S42" s="220">
        <f t="shared" si="10"/>
        <v>785000</v>
      </c>
      <c r="T42" s="220">
        <f t="shared" si="10"/>
        <v>0</v>
      </c>
      <c r="U42" s="213"/>
    </row>
    <row r="43" spans="1:21" s="214" customFormat="1">
      <c r="A43" s="219" t="s">
        <v>153</v>
      </c>
      <c r="B43" s="216">
        <f>SUM(C43:D43)</f>
        <v>100000</v>
      </c>
      <c r="C43" s="217">
        <v>100000</v>
      </c>
      <c r="D43" s="217"/>
      <c r="E43" s="217"/>
      <c r="F43" s="217"/>
      <c r="G43" s="217">
        <f>C43</f>
        <v>100000</v>
      </c>
      <c r="H43" s="217"/>
      <c r="I43" s="217"/>
      <c r="J43" s="217"/>
      <c r="K43" s="217"/>
      <c r="L43" s="217"/>
      <c r="M43" s="217"/>
      <c r="N43" s="217"/>
      <c r="O43" s="217"/>
      <c r="P43" s="217"/>
      <c r="Q43" s="217"/>
      <c r="R43" s="878">
        <f>SUM(E43:Q43)</f>
        <v>100000</v>
      </c>
      <c r="S43" s="217">
        <f>R43</f>
        <v>100000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1280871</v>
      </c>
      <c r="C45" s="1861">
        <f>963974+316897</f>
        <v>1280871</v>
      </c>
      <c r="D45" s="217"/>
      <c r="E45" s="217">
        <f>C45</f>
        <v>1280871</v>
      </c>
      <c r="F45" s="217"/>
      <c r="G45" s="217"/>
      <c r="H45" s="217"/>
      <c r="I45" s="217"/>
      <c r="J45" s="217"/>
      <c r="K45" s="217"/>
      <c r="L45" s="217"/>
      <c r="M45" s="217"/>
      <c r="N45" s="217"/>
      <c r="O45" s="217"/>
      <c r="P45" s="217"/>
      <c r="Q45" s="217"/>
      <c r="R45" s="878">
        <f t="shared" ref="R45:R53" si="12">SUM(E45:Q45)</f>
        <v>1280871</v>
      </c>
      <c r="S45" s="217">
        <v>765827</v>
      </c>
      <c r="T45" s="217"/>
      <c r="U45" s="213"/>
    </row>
    <row r="46" spans="1:21" s="214" customFormat="1">
      <c r="A46" s="215" t="s">
        <v>156</v>
      </c>
      <c r="B46" s="216">
        <f t="shared" si="11"/>
        <v>276372</v>
      </c>
      <c r="C46" s="1861">
        <v>276372</v>
      </c>
      <c r="D46" s="217"/>
      <c r="E46" s="217">
        <f>C46</f>
        <v>276372</v>
      </c>
      <c r="F46" s="217"/>
      <c r="G46" s="217"/>
      <c r="H46" s="217"/>
      <c r="I46" s="217"/>
      <c r="J46" s="217"/>
      <c r="K46" s="217"/>
      <c r="L46" s="217"/>
      <c r="M46" s="217"/>
      <c r="N46" s="217"/>
      <c r="O46" s="217"/>
      <c r="P46" s="217"/>
      <c r="Q46" s="217"/>
      <c r="R46" s="878">
        <f t="shared" si="12"/>
        <v>276372</v>
      </c>
      <c r="S46" s="217"/>
      <c r="T46" s="217"/>
      <c r="U46" s="213"/>
    </row>
    <row r="47" spans="1:21" s="214" customFormat="1">
      <c r="A47" s="296" t="s">
        <v>157</v>
      </c>
      <c r="B47" s="216">
        <f t="shared" si="11"/>
        <v>0</v>
      </c>
      <c r="C47" s="1861"/>
      <c r="D47" s="217"/>
      <c r="E47" s="217"/>
      <c r="F47" s="217"/>
      <c r="G47" s="217"/>
      <c r="H47" s="217"/>
      <c r="I47" s="217"/>
      <c r="J47" s="217"/>
      <c r="K47" s="217"/>
      <c r="L47" s="217"/>
      <c r="M47" s="217"/>
      <c r="N47" s="217"/>
      <c r="O47" s="217"/>
      <c r="P47" s="217"/>
      <c r="Q47" s="217"/>
      <c r="R47" s="878">
        <f t="shared" si="12"/>
        <v>0</v>
      </c>
      <c r="S47" s="217"/>
      <c r="T47" s="217"/>
      <c r="U47" s="213"/>
    </row>
    <row r="48" spans="1:21" s="214" customFormat="1">
      <c r="A48" s="215" t="s">
        <v>158</v>
      </c>
      <c r="B48" s="216">
        <f t="shared" si="11"/>
        <v>7000</v>
      </c>
      <c r="C48" s="1861">
        <v>7000</v>
      </c>
      <c r="D48" s="217"/>
      <c r="E48" s="217">
        <f>C48</f>
        <v>7000</v>
      </c>
      <c r="F48" s="217"/>
      <c r="G48" s="217"/>
      <c r="H48" s="217"/>
      <c r="I48" s="217"/>
      <c r="J48" s="217"/>
      <c r="K48" s="217"/>
      <c r="L48" s="217"/>
      <c r="M48" s="217"/>
      <c r="N48" s="217"/>
      <c r="O48" s="217"/>
      <c r="P48" s="217"/>
      <c r="Q48" s="217"/>
      <c r="R48" s="878">
        <f t="shared" si="12"/>
        <v>7000</v>
      </c>
      <c r="S48" s="217">
        <f>R48</f>
        <v>7000</v>
      </c>
      <c r="T48" s="217"/>
      <c r="U48" s="213"/>
    </row>
    <row r="49" spans="1:21" s="214" customFormat="1">
      <c r="A49" s="215" t="s">
        <v>60</v>
      </c>
      <c r="B49" s="216">
        <f t="shared" si="11"/>
        <v>95207</v>
      </c>
      <c r="C49" s="1861">
        <v>95207</v>
      </c>
      <c r="D49" s="217"/>
      <c r="E49" s="217">
        <f>C49-J49</f>
        <v>0</v>
      </c>
      <c r="F49" s="217"/>
      <c r="G49" s="217"/>
      <c r="H49" s="217"/>
      <c r="I49" s="217"/>
      <c r="J49" s="217">
        <v>95207</v>
      </c>
      <c r="K49" s="217"/>
      <c r="L49" s="217"/>
      <c r="M49" s="217"/>
      <c r="N49" s="217"/>
      <c r="O49" s="217"/>
      <c r="P49" s="217"/>
      <c r="Q49" s="217"/>
      <c r="R49" s="878">
        <f t="shared" si="12"/>
        <v>95207</v>
      </c>
      <c r="S49" s="217"/>
      <c r="T49" s="217"/>
      <c r="U49" s="213"/>
    </row>
    <row r="50" spans="1:21" s="214" customFormat="1">
      <c r="A50" s="215" t="s">
        <v>161</v>
      </c>
      <c r="B50" s="216">
        <f t="shared" si="11"/>
        <v>65000</v>
      </c>
      <c r="C50" s="1861">
        <v>65000</v>
      </c>
      <c r="D50" s="217"/>
      <c r="E50" s="217">
        <f t="shared" ref="E50:E53" si="13">C50</f>
        <v>65000</v>
      </c>
      <c r="F50" s="217"/>
      <c r="G50" s="217"/>
      <c r="H50" s="217"/>
      <c r="I50" s="217"/>
      <c r="J50" s="217"/>
      <c r="K50" s="217"/>
      <c r="L50" s="217"/>
      <c r="M50" s="217"/>
      <c r="N50" s="217"/>
      <c r="O50" s="217"/>
      <c r="P50" s="217"/>
      <c r="Q50" s="217"/>
      <c r="R50" s="878">
        <f t="shared" si="12"/>
        <v>65000</v>
      </c>
      <c r="S50" s="217">
        <f>R50</f>
        <v>65000</v>
      </c>
      <c r="T50" s="217"/>
      <c r="U50" s="213"/>
    </row>
    <row r="51" spans="1:21" s="214" customFormat="1">
      <c r="A51" s="439" t="s">
        <v>159</v>
      </c>
      <c r="B51" s="216">
        <f t="shared" si="11"/>
        <v>53710</v>
      </c>
      <c r="C51" s="1861">
        <v>53710</v>
      </c>
      <c r="D51" s="217"/>
      <c r="E51" s="217">
        <f t="shared" si="13"/>
        <v>53710</v>
      </c>
      <c r="F51" s="217"/>
      <c r="G51" s="217"/>
      <c r="H51" s="217"/>
      <c r="I51" s="217"/>
      <c r="J51" s="217"/>
      <c r="K51" s="217"/>
      <c r="L51" s="217"/>
      <c r="M51" s="217"/>
      <c r="N51" s="217"/>
      <c r="O51" s="217"/>
      <c r="P51" s="217"/>
      <c r="Q51" s="217"/>
      <c r="R51" s="878">
        <f t="shared" si="12"/>
        <v>53710</v>
      </c>
      <c r="S51" s="217">
        <f>R51</f>
        <v>53710</v>
      </c>
      <c r="T51" s="217"/>
      <c r="U51" s="213"/>
    </row>
    <row r="52" spans="1:21" s="214" customFormat="1">
      <c r="A52" s="215" t="s">
        <v>160</v>
      </c>
      <c r="B52" s="216">
        <f t="shared" si="11"/>
        <v>152000</v>
      </c>
      <c r="C52" s="1861">
        <v>152000</v>
      </c>
      <c r="D52" s="217"/>
      <c r="E52" s="217">
        <f t="shared" si="13"/>
        <v>152000</v>
      </c>
      <c r="F52" s="217"/>
      <c r="G52" s="217"/>
      <c r="H52" s="217"/>
      <c r="I52" s="217"/>
      <c r="J52" s="217"/>
      <c r="K52" s="217"/>
      <c r="L52" s="217"/>
      <c r="M52" s="217"/>
      <c r="N52" s="217"/>
      <c r="O52" s="217"/>
      <c r="P52" s="217"/>
      <c r="Q52" s="217"/>
      <c r="R52" s="878">
        <f t="shared" si="12"/>
        <v>152000</v>
      </c>
      <c r="S52" s="217">
        <f>R52</f>
        <v>152000</v>
      </c>
      <c r="T52" s="217"/>
      <c r="U52" s="213"/>
    </row>
    <row r="53" spans="1:21" s="214" customFormat="1">
      <c r="A53" s="1856" t="s">
        <v>2624</v>
      </c>
      <c r="B53" s="216">
        <f t="shared" si="11"/>
        <v>30000</v>
      </c>
      <c r="C53" s="1861">
        <v>30000</v>
      </c>
      <c r="D53" s="217"/>
      <c r="E53" s="217">
        <f t="shared" si="13"/>
        <v>30000</v>
      </c>
      <c r="F53" s="217"/>
      <c r="G53" s="217"/>
      <c r="H53" s="217"/>
      <c r="I53" s="217"/>
      <c r="J53" s="217"/>
      <c r="K53" s="217"/>
      <c r="L53" s="217"/>
      <c r="M53" s="217"/>
      <c r="N53" s="217"/>
      <c r="O53" s="217"/>
      <c r="P53" s="217"/>
      <c r="Q53" s="217"/>
      <c r="R53" s="878">
        <f t="shared" si="12"/>
        <v>30000</v>
      </c>
      <c r="S53" s="217"/>
      <c r="T53" s="217"/>
      <c r="U53" s="213"/>
    </row>
    <row r="54" spans="1:21" s="223" customFormat="1">
      <c r="A54" s="219" t="s">
        <v>162</v>
      </c>
      <c r="B54" s="220">
        <f>SUM(C54:D54)</f>
        <v>1960160</v>
      </c>
      <c r="C54" s="220">
        <f t="shared" ref="C54:T54" si="14">SUM(C45:C53)</f>
        <v>1960160</v>
      </c>
      <c r="D54" s="220">
        <f t="shared" si="14"/>
        <v>0</v>
      </c>
      <c r="E54" s="220">
        <f t="shared" si="14"/>
        <v>1864953</v>
      </c>
      <c r="F54" s="220">
        <f t="shared" si="14"/>
        <v>0</v>
      </c>
      <c r="G54" s="220">
        <f t="shared" si="14"/>
        <v>0</v>
      </c>
      <c r="H54" s="220">
        <f t="shared" si="14"/>
        <v>0</v>
      </c>
      <c r="I54" s="220">
        <f t="shared" si="14"/>
        <v>0</v>
      </c>
      <c r="J54" s="220">
        <f t="shared" si="14"/>
        <v>95207</v>
      </c>
      <c r="K54" s="220">
        <f t="shared" si="14"/>
        <v>0</v>
      </c>
      <c r="L54" s="220">
        <f t="shared" si="14"/>
        <v>0</v>
      </c>
      <c r="M54" s="220">
        <f t="shared" si="14"/>
        <v>0</v>
      </c>
      <c r="N54" s="220">
        <f t="shared" si="14"/>
        <v>0</v>
      </c>
      <c r="O54" s="220">
        <f t="shared" si="14"/>
        <v>0</v>
      </c>
      <c r="P54" s="220">
        <f t="shared" si="14"/>
        <v>0</v>
      </c>
      <c r="Q54" s="220">
        <f t="shared" si="14"/>
        <v>0</v>
      </c>
      <c r="R54" s="533">
        <f t="shared" si="14"/>
        <v>1960160</v>
      </c>
      <c r="S54" s="220">
        <f t="shared" si="14"/>
        <v>1043537</v>
      </c>
      <c r="T54" s="220">
        <f t="shared" si="14"/>
        <v>0</v>
      </c>
      <c r="U54" s="222"/>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31347</v>
      </c>
      <c r="C56" s="217">
        <f>31347</f>
        <v>31347</v>
      </c>
      <c r="D56" s="217"/>
      <c r="E56" s="217">
        <f>C56</f>
        <v>31347</v>
      </c>
      <c r="F56" s="217"/>
      <c r="G56" s="217"/>
      <c r="H56" s="217"/>
      <c r="I56" s="217"/>
      <c r="J56" s="217"/>
      <c r="K56" s="217"/>
      <c r="L56" s="217"/>
      <c r="M56" s="217"/>
      <c r="N56" s="217"/>
      <c r="O56" s="217"/>
      <c r="P56" s="217"/>
      <c r="Q56" s="217"/>
      <c r="R56" s="878">
        <f t="shared" ref="R56:R61" si="16">SUM(E56:Q56)</f>
        <v>31347</v>
      </c>
      <c r="S56" s="218"/>
      <c r="T56" s="218"/>
      <c r="U56" s="213"/>
    </row>
    <row r="57" spans="1:21" s="302" customFormat="1">
      <c r="A57" s="296" t="s">
        <v>157</v>
      </c>
      <c r="B57" s="303">
        <f t="shared" si="15"/>
        <v>0</v>
      </c>
      <c r="C57" s="300"/>
      <c r="D57" s="300"/>
      <c r="E57" s="300"/>
      <c r="F57" s="300"/>
      <c r="G57" s="300"/>
      <c r="H57" s="300"/>
      <c r="I57" s="300"/>
      <c r="J57" s="300"/>
      <c r="K57" s="300"/>
      <c r="L57" s="300"/>
      <c r="M57" s="300"/>
      <c r="N57" s="300"/>
      <c r="O57" s="300"/>
      <c r="P57" s="300"/>
      <c r="Q57" s="300"/>
      <c r="R57" s="878">
        <f t="shared" si="16"/>
        <v>0</v>
      </c>
      <c r="S57" s="304"/>
      <c r="T57" s="304"/>
      <c r="U57" s="301"/>
    </row>
    <row r="58" spans="1:21" s="214" customFormat="1">
      <c r="A58" s="215" t="s">
        <v>161</v>
      </c>
      <c r="B58" s="216">
        <f t="shared" si="15"/>
        <v>0</v>
      </c>
      <c r="C58" s="217"/>
      <c r="D58" s="217"/>
      <c r="E58" s="217"/>
      <c r="F58" s="217"/>
      <c r="G58" s="217"/>
      <c r="H58" s="217"/>
      <c r="I58" s="217"/>
      <c r="J58" s="217"/>
      <c r="K58" s="217"/>
      <c r="L58" s="217"/>
      <c r="M58" s="217"/>
      <c r="N58" s="217"/>
      <c r="O58" s="217"/>
      <c r="P58" s="217"/>
      <c r="Q58" s="217"/>
      <c r="R58" s="878">
        <f t="shared" si="16"/>
        <v>0</v>
      </c>
      <c r="S58" s="218"/>
      <c r="T58" s="218"/>
      <c r="U58" s="213"/>
    </row>
    <row r="59" spans="1:21" s="214" customFormat="1">
      <c r="A59" s="439" t="s">
        <v>159</v>
      </c>
      <c r="B59" s="216">
        <f t="shared" si="15"/>
        <v>0</v>
      </c>
      <c r="C59" s="217"/>
      <c r="D59" s="217"/>
      <c r="E59" s="217"/>
      <c r="F59" s="217"/>
      <c r="G59" s="217"/>
      <c r="H59" s="217"/>
      <c r="I59" s="217"/>
      <c r="J59" s="217"/>
      <c r="K59" s="217"/>
      <c r="L59" s="217"/>
      <c r="M59" s="217"/>
      <c r="N59" s="217"/>
      <c r="O59" s="217"/>
      <c r="P59" s="217"/>
      <c r="Q59" s="217"/>
      <c r="R59" s="878">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8">
        <f t="shared" si="16"/>
        <v>0</v>
      </c>
      <c r="S60" s="218"/>
      <c r="T60" s="218"/>
      <c r="U60" s="213"/>
    </row>
    <row r="61" spans="1:21" s="214" customFormat="1">
      <c r="A61" s="1856" t="s">
        <v>2677</v>
      </c>
      <c r="B61" s="216">
        <f t="shared" si="15"/>
        <v>10000</v>
      </c>
      <c r="C61" s="217">
        <v>10000</v>
      </c>
      <c r="D61" s="217"/>
      <c r="E61" s="217">
        <f>+B61</f>
        <v>10000</v>
      </c>
      <c r="F61" s="217"/>
      <c r="G61" s="217"/>
      <c r="H61" s="217"/>
      <c r="I61" s="217"/>
      <c r="J61" s="217"/>
      <c r="K61" s="217"/>
      <c r="L61" s="217"/>
      <c r="M61" s="217"/>
      <c r="N61" s="217"/>
      <c r="O61" s="217"/>
      <c r="P61" s="217"/>
      <c r="Q61" s="217"/>
      <c r="R61" s="878">
        <f t="shared" si="16"/>
        <v>10000</v>
      </c>
      <c r="S61" s="218"/>
      <c r="T61" s="218"/>
      <c r="U61" s="213"/>
    </row>
    <row r="62" spans="1:21" s="214" customFormat="1" ht="13.9" customHeight="1">
      <c r="A62" s="219" t="s">
        <v>308</v>
      </c>
      <c r="B62" s="216">
        <f>SUM(C62:D62)</f>
        <v>41347</v>
      </c>
      <c r="C62" s="216">
        <f t="shared" ref="C62:R62" si="17">SUM(C56:C61)</f>
        <v>41347</v>
      </c>
      <c r="D62" s="216">
        <f t="shared" si="17"/>
        <v>0</v>
      </c>
      <c r="E62" s="216">
        <f t="shared" si="17"/>
        <v>41347</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3">
        <f t="shared" si="17"/>
        <v>41347</v>
      </c>
      <c r="S62" s="218"/>
      <c r="T62" s="218"/>
      <c r="U62" s="213"/>
    </row>
    <row r="63" spans="1:21" s="214" customFormat="1">
      <c r="A63" s="224" t="s">
        <v>309</v>
      </c>
      <c r="B63" s="216">
        <f t="shared" ref="B63:R63" si="18">SUM(B8+B11+B13+B14+B15+B26+B27+B38+B42+B43+B54+B62)</f>
        <v>32283282</v>
      </c>
      <c r="C63" s="216">
        <f t="shared" si="18"/>
        <v>32283282</v>
      </c>
      <c r="D63" s="216">
        <f t="shared" si="18"/>
        <v>0</v>
      </c>
      <c r="E63" s="216">
        <f t="shared" si="18"/>
        <v>10617333</v>
      </c>
      <c r="F63" s="216">
        <f t="shared" si="18"/>
        <v>3134700</v>
      </c>
      <c r="G63" s="216">
        <f t="shared" si="18"/>
        <v>11201042</v>
      </c>
      <c r="H63" s="216">
        <f t="shared" si="18"/>
        <v>3235000</v>
      </c>
      <c r="I63" s="216">
        <f t="shared" si="18"/>
        <v>4000000</v>
      </c>
      <c r="J63" s="216">
        <f t="shared" si="18"/>
        <v>95207</v>
      </c>
      <c r="K63" s="216">
        <f t="shared" si="18"/>
        <v>0</v>
      </c>
      <c r="L63" s="216">
        <f t="shared" si="18"/>
        <v>0</v>
      </c>
      <c r="M63" s="216">
        <f t="shared" si="18"/>
        <v>0</v>
      </c>
      <c r="N63" s="216">
        <f t="shared" si="18"/>
        <v>0</v>
      </c>
      <c r="O63" s="216">
        <f t="shared" si="18"/>
        <v>0</v>
      </c>
      <c r="P63" s="216">
        <f t="shared" si="18"/>
        <v>0</v>
      </c>
      <c r="Q63" s="216">
        <f t="shared" si="18"/>
        <v>0</v>
      </c>
      <c r="R63" s="533">
        <f t="shared" si="18"/>
        <v>32283282</v>
      </c>
      <c r="S63" s="216">
        <f>SUM(S10+S13+S14+S15+S26+S27+S38+S42+S43+S54)</f>
        <v>28079032</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130316</v>
      </c>
      <c r="C65" s="1861">
        <v>130316</v>
      </c>
      <c r="D65" s="217"/>
      <c r="E65" s="217">
        <f>C65</f>
        <v>130316</v>
      </c>
      <c r="F65" s="217"/>
      <c r="G65" s="217"/>
      <c r="H65" s="217"/>
      <c r="I65" s="217"/>
      <c r="J65" s="217"/>
      <c r="K65" s="217"/>
      <c r="L65" s="217"/>
      <c r="M65" s="217"/>
      <c r="N65" s="217"/>
      <c r="O65" s="217"/>
      <c r="P65" s="217"/>
      <c r="Q65" s="217"/>
      <c r="R65" s="878">
        <f>SUM(E65:Q65)</f>
        <v>130316</v>
      </c>
      <c r="S65" s="1861"/>
      <c r="T65" s="217"/>
      <c r="U65" s="213"/>
    </row>
    <row r="66" spans="1:21" s="214" customFormat="1" ht="24" customHeight="1">
      <c r="A66" s="439" t="s">
        <v>1992</v>
      </c>
      <c r="B66" s="216">
        <f t="shared" ref="B66:B69" si="19">SUM(C66+D66)</f>
        <v>0</v>
      </c>
      <c r="C66" s="217"/>
      <c r="D66" s="217"/>
      <c r="E66" s="217">
        <f>C66</f>
        <v>0</v>
      </c>
      <c r="F66" s="217"/>
      <c r="G66" s="217"/>
      <c r="H66" s="217"/>
      <c r="I66" s="217"/>
      <c r="J66" s="217"/>
      <c r="K66" s="217"/>
      <c r="L66" s="217"/>
      <c r="M66" s="217"/>
      <c r="N66" s="217"/>
      <c r="O66" s="217"/>
      <c r="P66" s="217"/>
      <c r="Q66" s="217"/>
      <c r="R66" s="878">
        <f t="shared" ref="R66:R68" si="20">SUM(E66:Q66)</f>
        <v>0</v>
      </c>
      <c r="S66" s="217"/>
      <c r="T66" s="217"/>
      <c r="U66" s="213"/>
    </row>
    <row r="67" spans="1:21" s="214" customFormat="1" ht="24" customHeight="1">
      <c r="A67" s="439" t="s">
        <v>1993</v>
      </c>
      <c r="B67" s="216">
        <f t="shared" si="19"/>
        <v>0</v>
      </c>
      <c r="C67" s="217"/>
      <c r="D67" s="217"/>
      <c r="E67" s="217"/>
      <c r="F67" s="217"/>
      <c r="G67" s="217"/>
      <c r="H67" s="217"/>
      <c r="I67" s="217"/>
      <c r="J67" s="217"/>
      <c r="K67" s="217"/>
      <c r="L67" s="217"/>
      <c r="M67" s="217"/>
      <c r="N67" s="217"/>
      <c r="O67" s="217"/>
      <c r="P67" s="217"/>
      <c r="Q67" s="217"/>
      <c r="R67" s="878">
        <f t="shared" si="20"/>
        <v>0</v>
      </c>
      <c r="S67" s="217"/>
      <c r="T67" s="217"/>
      <c r="U67" s="213"/>
    </row>
    <row r="68" spans="1:21" s="214" customFormat="1" ht="12" customHeight="1">
      <c r="A68" s="439" t="s">
        <v>1999</v>
      </c>
      <c r="B68" s="216">
        <f t="shared" si="19"/>
        <v>0</v>
      </c>
      <c r="C68" s="217"/>
      <c r="D68" s="217"/>
      <c r="E68" s="217"/>
      <c r="F68" s="217"/>
      <c r="G68" s="217"/>
      <c r="H68" s="217"/>
      <c r="I68" s="217"/>
      <c r="J68" s="217"/>
      <c r="K68" s="217"/>
      <c r="L68" s="217"/>
      <c r="M68" s="217"/>
      <c r="N68" s="217"/>
      <c r="O68" s="217"/>
      <c r="P68" s="217"/>
      <c r="Q68" s="217"/>
      <c r="R68" s="878">
        <f t="shared" si="20"/>
        <v>0</v>
      </c>
      <c r="S68" s="217"/>
      <c r="T68" s="217"/>
      <c r="U68" s="213"/>
    </row>
    <row r="69" spans="1:21" s="214" customFormat="1">
      <c r="A69" s="1856" t="s">
        <v>2625</v>
      </c>
      <c r="B69" s="216">
        <f t="shared" si="19"/>
        <v>76000</v>
      </c>
      <c r="C69" s="217">
        <f>76000</f>
        <v>76000</v>
      </c>
      <c r="D69" s="217"/>
      <c r="E69" s="217">
        <f>C69</f>
        <v>76000</v>
      </c>
      <c r="F69" s="217"/>
      <c r="G69" s="217"/>
      <c r="H69" s="217"/>
      <c r="I69" s="217"/>
      <c r="J69" s="217"/>
      <c r="K69" s="217"/>
      <c r="L69" s="217"/>
      <c r="M69" s="217"/>
      <c r="N69" s="217"/>
      <c r="O69" s="217"/>
      <c r="P69" s="217"/>
      <c r="Q69" s="217"/>
      <c r="R69" s="878">
        <f>SUM(E69:Q69)</f>
        <v>76000</v>
      </c>
      <c r="S69" s="217">
        <f>R69</f>
        <v>76000</v>
      </c>
      <c r="T69" s="217"/>
      <c r="U69" s="213"/>
    </row>
    <row r="70" spans="1:21" s="214" customFormat="1">
      <c r="A70" s="219" t="s">
        <v>1996</v>
      </c>
      <c r="B70" s="216">
        <f>SUM(C70:D70)</f>
        <v>206316</v>
      </c>
      <c r="C70" s="216">
        <f>SUM(C65:C69)</f>
        <v>206316</v>
      </c>
      <c r="D70" s="216">
        <f>SUM(D65:D69)</f>
        <v>0</v>
      </c>
      <c r="E70" s="216">
        <f t="shared" ref="E70:T70" si="21">SUM(E65:E69)</f>
        <v>206316</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3">
        <f t="shared" si="21"/>
        <v>206316</v>
      </c>
      <c r="S70" s="220">
        <f t="shared" si="21"/>
        <v>76000</v>
      </c>
      <c r="T70" s="220">
        <f t="shared" si="21"/>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8">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8">
        <f>SUM(E73:Q73)</f>
        <v>0</v>
      </c>
      <c r="S73" s="218"/>
      <c r="T73" s="218"/>
      <c r="U73" s="213"/>
    </row>
    <row r="74" spans="1:21" s="214" customFormat="1">
      <c r="A74" s="737" t="s">
        <v>1084</v>
      </c>
      <c r="B74" s="216">
        <f>SUM(C74+D74)</f>
        <v>0</v>
      </c>
      <c r="C74" s="217"/>
      <c r="D74" s="217"/>
      <c r="E74" s="217"/>
      <c r="F74" s="217"/>
      <c r="G74" s="217"/>
      <c r="H74" s="217"/>
      <c r="I74" s="217"/>
      <c r="J74" s="217"/>
      <c r="K74" s="217"/>
      <c r="L74" s="217"/>
      <c r="M74" s="217"/>
      <c r="N74" s="217"/>
      <c r="O74" s="217"/>
      <c r="P74" s="217"/>
      <c r="Q74" s="217"/>
      <c r="R74" s="878">
        <f>SUM(E74:Q74)</f>
        <v>0</v>
      </c>
      <c r="S74" s="218"/>
      <c r="T74" s="218"/>
      <c r="U74" s="213"/>
    </row>
    <row r="75" spans="1:21" s="214" customFormat="1">
      <c r="A75" s="215" t="s">
        <v>639</v>
      </c>
      <c r="B75" s="216">
        <f>SUM(C75+D75)</f>
        <v>177297</v>
      </c>
      <c r="C75" s="217">
        <v>177297</v>
      </c>
      <c r="D75" s="217"/>
      <c r="E75" s="217">
        <f>C75</f>
        <v>177297</v>
      </c>
      <c r="F75" s="217"/>
      <c r="G75" s="217"/>
      <c r="H75" s="217"/>
      <c r="I75" s="217"/>
      <c r="J75" s="217"/>
      <c r="K75" s="217"/>
      <c r="L75" s="217"/>
      <c r="M75" s="217"/>
      <c r="N75" s="217"/>
      <c r="O75" s="217"/>
      <c r="P75" s="217"/>
      <c r="Q75" s="217"/>
      <c r="R75" s="878">
        <f>SUM(E75:Q75)</f>
        <v>177297</v>
      </c>
      <c r="S75" s="218"/>
      <c r="T75" s="218"/>
      <c r="U75" s="213"/>
    </row>
    <row r="76" spans="1:21" s="214" customFormat="1">
      <c r="A76" s="1856" t="s">
        <v>2615</v>
      </c>
      <c r="B76" s="216">
        <f>SUM(C76+D76)</f>
        <v>112225</v>
      </c>
      <c r="C76" s="217">
        <v>112225</v>
      </c>
      <c r="D76" s="217"/>
      <c r="E76" s="217">
        <f>C76</f>
        <v>112225</v>
      </c>
      <c r="F76" s="217"/>
      <c r="G76" s="217"/>
      <c r="H76" s="217"/>
      <c r="I76" s="217"/>
      <c r="J76" s="217"/>
      <c r="K76" s="217"/>
      <c r="L76" s="217"/>
      <c r="M76" s="217"/>
      <c r="N76" s="217"/>
      <c r="O76" s="217"/>
      <c r="P76" s="217"/>
      <c r="Q76" s="217"/>
      <c r="R76" s="878">
        <f>SUM(E76:Q76)</f>
        <v>112225</v>
      </c>
      <c r="S76" s="218"/>
      <c r="T76" s="218"/>
      <c r="U76" s="213"/>
    </row>
    <row r="77" spans="1:21" s="214" customFormat="1">
      <c r="A77" s="219" t="s">
        <v>640</v>
      </c>
      <c r="B77" s="216">
        <f>SUM(C77:D77)</f>
        <v>289522</v>
      </c>
      <c r="C77" s="216">
        <f>SUM(C72:C76)</f>
        <v>289522</v>
      </c>
      <c r="D77" s="216">
        <f>SUM(D72:D76)</f>
        <v>0</v>
      </c>
      <c r="E77" s="216">
        <f t="shared" ref="E77:Q77" si="22">SUM(E72:E76)</f>
        <v>289522</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3">
        <f>SUM(R72:R76)</f>
        <v>289522</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1420</v>
      </c>
      <c r="B79" s="216">
        <f>SUM(C79:D79)</f>
        <v>1298775</v>
      </c>
      <c r="C79" s="217">
        <v>1298775</v>
      </c>
      <c r="D79" s="217"/>
      <c r="E79" s="217">
        <f>C79</f>
        <v>1298775</v>
      </c>
      <c r="F79" s="217"/>
      <c r="G79" s="217"/>
      <c r="H79" s="217"/>
      <c r="I79" s="217"/>
      <c r="J79" s="217"/>
      <c r="K79" s="217"/>
      <c r="L79" s="217"/>
      <c r="M79" s="217"/>
      <c r="N79" s="217"/>
      <c r="O79" s="217"/>
      <c r="P79" s="217"/>
      <c r="Q79" s="217"/>
      <c r="R79" s="878">
        <f>SUM(E79:Q79)</f>
        <v>1298775</v>
      </c>
      <c r="S79" s="217">
        <f>R79</f>
        <v>1298775</v>
      </c>
      <c r="T79" s="217"/>
      <c r="U79" s="213"/>
    </row>
    <row r="80" spans="1:21" s="214" customFormat="1">
      <c r="A80" s="439" t="s">
        <v>61</v>
      </c>
      <c r="B80" s="216">
        <f>SUM(C80:D80)</f>
        <v>250000</v>
      </c>
      <c r="C80" s="217">
        <v>250000</v>
      </c>
      <c r="D80" s="217"/>
      <c r="E80" s="217">
        <f>C80</f>
        <v>250000</v>
      </c>
      <c r="F80" s="217"/>
      <c r="G80" s="217"/>
      <c r="H80" s="217"/>
      <c r="I80" s="217"/>
      <c r="J80" s="217"/>
      <c r="K80" s="217"/>
      <c r="L80" s="217"/>
      <c r="M80" s="217"/>
      <c r="N80" s="217"/>
      <c r="O80" s="217"/>
      <c r="P80" s="217"/>
      <c r="Q80" s="217"/>
      <c r="R80" s="878">
        <f>SUM(E80:Q80)</f>
        <v>250000</v>
      </c>
      <c r="S80" s="217">
        <f>R80</f>
        <v>250000</v>
      </c>
      <c r="T80" s="217"/>
      <c r="U80" s="213"/>
    </row>
    <row r="81" spans="1:21" s="214" customFormat="1">
      <c r="A81" s="219" t="s">
        <v>1417</v>
      </c>
      <c r="B81" s="216">
        <f>SUM(C81:D81)</f>
        <v>1548775</v>
      </c>
      <c r="C81" s="858">
        <f>SUM(C79:C80)</f>
        <v>1548775</v>
      </c>
      <c r="D81" s="858">
        <f t="shared" ref="D81:T81" si="23">SUM(D79:D80)</f>
        <v>0</v>
      </c>
      <c r="E81" s="858">
        <f t="shared" si="23"/>
        <v>1548775</v>
      </c>
      <c r="F81" s="858">
        <f t="shared" si="23"/>
        <v>0</v>
      </c>
      <c r="G81" s="858">
        <f t="shared" si="23"/>
        <v>0</v>
      </c>
      <c r="H81" s="858">
        <f t="shared" si="23"/>
        <v>0</v>
      </c>
      <c r="I81" s="858">
        <f t="shared" si="23"/>
        <v>0</v>
      </c>
      <c r="J81" s="858">
        <f t="shared" si="23"/>
        <v>0</v>
      </c>
      <c r="K81" s="858">
        <f t="shared" si="23"/>
        <v>0</v>
      </c>
      <c r="L81" s="858">
        <f t="shared" si="23"/>
        <v>0</v>
      </c>
      <c r="M81" s="858">
        <f t="shared" si="23"/>
        <v>0</v>
      </c>
      <c r="N81" s="858">
        <f t="shared" si="23"/>
        <v>0</v>
      </c>
      <c r="O81" s="858">
        <f t="shared" si="23"/>
        <v>0</v>
      </c>
      <c r="P81" s="858">
        <f t="shared" si="23"/>
        <v>0</v>
      </c>
      <c r="Q81" s="858">
        <f t="shared" si="23"/>
        <v>0</v>
      </c>
      <c r="R81" s="858">
        <f t="shared" si="23"/>
        <v>1548775</v>
      </c>
      <c r="S81" s="858">
        <f t="shared" si="23"/>
        <v>1548775</v>
      </c>
      <c r="T81" s="858">
        <f t="shared" si="23"/>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9" customHeight="1">
      <c r="A83" s="215" t="s">
        <v>823</v>
      </c>
      <c r="B83" s="216">
        <f t="shared" ref="B83:B95" si="24">SUM(C83+D83)</f>
        <v>45787</v>
      </c>
      <c r="C83" s="217">
        <v>45787</v>
      </c>
      <c r="D83" s="217"/>
      <c r="E83" s="217">
        <f>C83</f>
        <v>45787</v>
      </c>
      <c r="F83" s="217"/>
      <c r="G83" s="217"/>
      <c r="H83" s="217"/>
      <c r="I83" s="217"/>
      <c r="J83" s="217"/>
      <c r="K83" s="217"/>
      <c r="L83" s="217"/>
      <c r="M83" s="217"/>
      <c r="N83" s="217"/>
      <c r="O83" s="217"/>
      <c r="P83" s="217"/>
      <c r="Q83" s="217"/>
      <c r="R83" s="878">
        <f t="shared" ref="R83:R95" si="25">SUM(E83:Q83)</f>
        <v>45787</v>
      </c>
      <c r="S83" s="218"/>
      <c r="T83" s="218"/>
      <c r="U83" s="213"/>
    </row>
    <row r="84" spans="1:21" s="214" customFormat="1">
      <c r="A84" s="215" t="s">
        <v>824</v>
      </c>
      <c r="B84" s="216">
        <f t="shared" si="24"/>
        <v>235235</v>
      </c>
      <c r="C84" s="217">
        <v>235235</v>
      </c>
      <c r="D84" s="217"/>
      <c r="E84" s="217">
        <f t="shared" ref="E84:E95" si="26">C84</f>
        <v>235235</v>
      </c>
      <c r="F84" s="217"/>
      <c r="G84" s="217"/>
      <c r="H84" s="217"/>
      <c r="I84" s="217"/>
      <c r="J84" s="217"/>
      <c r="K84" s="217"/>
      <c r="L84" s="217"/>
      <c r="M84" s="217"/>
      <c r="N84" s="217"/>
      <c r="O84" s="217"/>
      <c r="P84" s="217"/>
      <c r="Q84" s="217"/>
      <c r="R84" s="878">
        <f t="shared" si="25"/>
        <v>235235</v>
      </c>
      <c r="S84" s="217">
        <f>R84</f>
        <v>235235</v>
      </c>
      <c r="T84" s="217"/>
      <c r="U84" s="213"/>
    </row>
    <row r="85" spans="1:21" s="214" customFormat="1">
      <c r="A85" s="215" t="s">
        <v>825</v>
      </c>
      <c r="B85" s="216">
        <f t="shared" si="24"/>
        <v>810962</v>
      </c>
      <c r="C85" s="217">
        <v>810962</v>
      </c>
      <c r="D85" s="217"/>
      <c r="E85" s="217"/>
      <c r="F85" s="217"/>
      <c r="G85" s="217">
        <f>+C85-L85</f>
        <v>810962</v>
      </c>
      <c r="H85" s="217"/>
      <c r="I85" s="217"/>
      <c r="J85" s="217"/>
      <c r="K85" s="217"/>
      <c r="L85" s="217"/>
      <c r="M85" s="217"/>
      <c r="N85" s="217"/>
      <c r="O85" s="217"/>
      <c r="P85" s="217"/>
      <c r="Q85" s="217"/>
      <c r="R85" s="878">
        <f t="shared" si="25"/>
        <v>810962</v>
      </c>
      <c r="S85" s="217">
        <f>R85</f>
        <v>810962</v>
      </c>
      <c r="T85" s="217"/>
      <c r="U85" s="213"/>
    </row>
    <row r="86" spans="1:21" s="214" customFormat="1">
      <c r="A86" s="215" t="s">
        <v>826</v>
      </c>
      <c r="B86" s="216">
        <f t="shared" si="24"/>
        <v>911250</v>
      </c>
      <c r="C86" s="217">
        <v>911250</v>
      </c>
      <c r="D86" s="217"/>
      <c r="E86" s="217"/>
      <c r="F86" s="217"/>
      <c r="G86" s="217">
        <f>C86</f>
        <v>911250</v>
      </c>
      <c r="H86" s="217"/>
      <c r="I86" s="217"/>
      <c r="J86" s="217"/>
      <c r="K86" s="217"/>
      <c r="L86" s="217"/>
      <c r="M86" s="217"/>
      <c r="N86" s="217"/>
      <c r="O86" s="217"/>
      <c r="P86" s="217"/>
      <c r="Q86" s="217"/>
      <c r="R86" s="878">
        <f t="shared" si="25"/>
        <v>911250</v>
      </c>
      <c r="S86" s="217">
        <f>R86</f>
        <v>911250</v>
      </c>
      <c r="T86" s="217"/>
      <c r="U86" s="213"/>
    </row>
    <row r="87" spans="1:21" s="214" customFormat="1">
      <c r="A87" s="215" t="s">
        <v>827</v>
      </c>
      <c r="B87" s="216">
        <f t="shared" si="24"/>
        <v>0</v>
      </c>
      <c r="C87" s="217"/>
      <c r="D87" s="217"/>
      <c r="E87" s="217">
        <f t="shared" si="26"/>
        <v>0</v>
      </c>
      <c r="F87" s="217"/>
      <c r="G87" s="217"/>
      <c r="H87" s="217"/>
      <c r="I87" s="217"/>
      <c r="J87" s="217"/>
      <c r="K87" s="217"/>
      <c r="L87" s="217"/>
      <c r="M87" s="217"/>
      <c r="N87" s="217"/>
      <c r="O87" s="217"/>
      <c r="P87" s="217"/>
      <c r="Q87" s="217"/>
      <c r="R87" s="878">
        <f t="shared" si="25"/>
        <v>0</v>
      </c>
      <c r="S87" s="217"/>
      <c r="T87" s="217"/>
      <c r="U87" s="213"/>
    </row>
    <row r="88" spans="1:21" s="214" customFormat="1">
      <c r="A88" s="215" t="s">
        <v>828</v>
      </c>
      <c r="B88" s="216">
        <f t="shared" si="24"/>
        <v>40000</v>
      </c>
      <c r="C88" s="217">
        <f>40000</f>
        <v>40000</v>
      </c>
      <c r="D88" s="217"/>
      <c r="E88" s="217">
        <f t="shared" si="26"/>
        <v>40000</v>
      </c>
      <c r="F88" s="217"/>
      <c r="G88" s="217"/>
      <c r="H88" s="217"/>
      <c r="I88" s="217"/>
      <c r="J88" s="217"/>
      <c r="K88" s="217"/>
      <c r="L88" s="217"/>
      <c r="M88" s="217"/>
      <c r="N88" s="217"/>
      <c r="O88" s="217"/>
      <c r="P88" s="217"/>
      <c r="Q88" s="217"/>
      <c r="R88" s="878">
        <f t="shared" si="25"/>
        <v>40000</v>
      </c>
      <c r="S88" s="218"/>
      <c r="T88" s="218"/>
      <c r="U88" s="213"/>
    </row>
    <row r="89" spans="1:21" s="214" customFormat="1">
      <c r="A89" s="215" t="s">
        <v>829</v>
      </c>
      <c r="B89" s="216">
        <f t="shared" si="24"/>
        <v>80000</v>
      </c>
      <c r="C89" s="217">
        <v>80000</v>
      </c>
      <c r="D89" s="217"/>
      <c r="E89" s="217"/>
      <c r="F89" s="217"/>
      <c r="G89" s="217">
        <f>C89</f>
        <v>80000</v>
      </c>
      <c r="H89" s="217"/>
      <c r="I89" s="217"/>
      <c r="J89" s="217"/>
      <c r="K89" s="217"/>
      <c r="L89" s="217"/>
      <c r="M89" s="217"/>
      <c r="N89" s="217"/>
      <c r="O89" s="217"/>
      <c r="P89" s="217"/>
      <c r="Q89" s="217"/>
      <c r="R89" s="878">
        <f t="shared" si="25"/>
        <v>80000</v>
      </c>
      <c r="S89" s="217">
        <f>R89</f>
        <v>80000</v>
      </c>
      <c r="T89" s="217"/>
      <c r="U89" s="213"/>
    </row>
    <row r="90" spans="1:21" s="214" customFormat="1">
      <c r="A90" s="215" t="s">
        <v>830</v>
      </c>
      <c r="B90" s="216">
        <f t="shared" si="24"/>
        <v>9750</v>
      </c>
      <c r="C90" s="217">
        <v>9750</v>
      </c>
      <c r="D90" s="217"/>
      <c r="E90" s="217">
        <f t="shared" si="26"/>
        <v>9750</v>
      </c>
      <c r="F90" s="217"/>
      <c r="G90" s="217"/>
      <c r="H90" s="217"/>
      <c r="I90" s="217"/>
      <c r="J90" s="217"/>
      <c r="K90" s="217"/>
      <c r="L90" s="217"/>
      <c r="M90" s="217"/>
      <c r="N90" s="217"/>
      <c r="O90" s="217"/>
      <c r="P90" s="217"/>
      <c r="Q90" s="217"/>
      <c r="R90" s="878">
        <f t="shared" si="25"/>
        <v>9750</v>
      </c>
      <c r="S90" s="217"/>
      <c r="T90" s="217"/>
      <c r="U90" s="213"/>
    </row>
    <row r="91" spans="1:21" s="214" customFormat="1">
      <c r="A91" s="1809" t="s">
        <v>389</v>
      </c>
      <c r="B91" s="216">
        <f t="shared" si="24"/>
        <v>0</v>
      </c>
      <c r="C91" s="217"/>
      <c r="D91" s="217"/>
      <c r="E91" s="217">
        <f t="shared" si="26"/>
        <v>0</v>
      </c>
      <c r="F91" s="217"/>
      <c r="G91" s="217"/>
      <c r="H91" s="217"/>
      <c r="I91" s="217"/>
      <c r="J91" s="217"/>
      <c r="K91" s="217"/>
      <c r="L91" s="217"/>
      <c r="M91" s="217"/>
      <c r="N91" s="217"/>
      <c r="O91" s="217"/>
      <c r="P91" s="217"/>
      <c r="Q91" s="217"/>
      <c r="R91" s="878">
        <f t="shared" si="25"/>
        <v>0</v>
      </c>
      <c r="S91" s="217"/>
      <c r="T91" s="217"/>
      <c r="U91" s="213"/>
    </row>
    <row r="92" spans="1:21" s="214" customFormat="1">
      <c r="A92" s="1808" t="s">
        <v>1419</v>
      </c>
      <c r="B92" s="216">
        <f t="shared" si="24"/>
        <v>9750</v>
      </c>
      <c r="C92" s="217">
        <v>9750</v>
      </c>
      <c r="D92" s="217"/>
      <c r="E92" s="217">
        <f t="shared" si="26"/>
        <v>9750</v>
      </c>
      <c r="F92" s="217"/>
      <c r="G92" s="217"/>
      <c r="H92" s="217"/>
      <c r="I92" s="217"/>
      <c r="J92" s="217"/>
      <c r="K92" s="217"/>
      <c r="L92" s="217"/>
      <c r="M92" s="217"/>
      <c r="N92" s="217"/>
      <c r="O92" s="217"/>
      <c r="P92" s="217"/>
      <c r="Q92" s="217"/>
      <c r="R92" s="878">
        <f t="shared" si="25"/>
        <v>9750</v>
      </c>
      <c r="S92" s="217">
        <f>R92</f>
        <v>9750</v>
      </c>
      <c r="T92" s="217"/>
      <c r="U92" s="213"/>
    </row>
    <row r="93" spans="1:21" s="214" customFormat="1">
      <c r="A93" s="1856" t="s">
        <v>2613</v>
      </c>
      <c r="B93" s="216">
        <f t="shared" si="24"/>
        <v>105000</v>
      </c>
      <c r="C93" s="217">
        <v>105000</v>
      </c>
      <c r="D93" s="217"/>
      <c r="E93" s="217">
        <f t="shared" si="26"/>
        <v>105000</v>
      </c>
      <c r="F93" s="217"/>
      <c r="G93" s="217"/>
      <c r="H93" s="217"/>
      <c r="I93" s="217"/>
      <c r="J93" s="217"/>
      <c r="K93" s="217"/>
      <c r="L93" s="217"/>
      <c r="M93" s="217"/>
      <c r="N93" s="217"/>
      <c r="O93" s="217"/>
      <c r="P93" s="217"/>
      <c r="Q93" s="217"/>
      <c r="R93" s="878">
        <f t="shared" si="25"/>
        <v>105000</v>
      </c>
      <c r="S93" s="217">
        <f>R93</f>
        <v>105000</v>
      </c>
      <c r="T93" s="217"/>
      <c r="U93" s="213"/>
    </row>
    <row r="94" spans="1:21" s="214" customFormat="1">
      <c r="A94" s="1856" t="s">
        <v>2614</v>
      </c>
      <c r="B94" s="216">
        <f t="shared" si="24"/>
        <v>98618</v>
      </c>
      <c r="C94" s="217">
        <v>98618</v>
      </c>
      <c r="D94" s="217"/>
      <c r="E94" s="217">
        <f t="shared" si="26"/>
        <v>98618</v>
      </c>
      <c r="F94" s="217"/>
      <c r="G94" s="217"/>
      <c r="H94" s="217"/>
      <c r="I94" s="217"/>
      <c r="J94" s="217"/>
      <c r="K94" s="217"/>
      <c r="L94" s="217"/>
      <c r="M94" s="217"/>
      <c r="N94" s="217"/>
      <c r="O94" s="217"/>
      <c r="P94" s="217"/>
      <c r="Q94" s="217"/>
      <c r="R94" s="878">
        <f t="shared" si="25"/>
        <v>98618</v>
      </c>
      <c r="S94" s="217"/>
      <c r="T94" s="217"/>
      <c r="U94" s="213"/>
    </row>
    <row r="95" spans="1:21" s="214" customFormat="1">
      <c r="A95" s="1856" t="s">
        <v>2622</v>
      </c>
      <c r="B95" s="216">
        <f t="shared" si="24"/>
        <v>15000</v>
      </c>
      <c r="C95" s="217">
        <v>15000</v>
      </c>
      <c r="D95" s="217"/>
      <c r="E95" s="217">
        <f t="shared" si="26"/>
        <v>15000</v>
      </c>
      <c r="F95" s="217"/>
      <c r="G95" s="217"/>
      <c r="H95" s="217"/>
      <c r="I95" s="217"/>
      <c r="J95" s="217"/>
      <c r="K95" s="217"/>
      <c r="L95" s="217"/>
      <c r="M95" s="217"/>
      <c r="N95" s="217"/>
      <c r="O95" s="217"/>
      <c r="P95" s="217"/>
      <c r="Q95" s="217"/>
      <c r="R95" s="878">
        <f t="shared" si="25"/>
        <v>15000</v>
      </c>
      <c r="S95" s="217"/>
      <c r="T95" s="217"/>
      <c r="U95" s="213"/>
    </row>
    <row r="96" spans="1:21" s="214" customFormat="1">
      <c r="A96" s="219" t="s">
        <v>831</v>
      </c>
      <c r="B96" s="216">
        <f>SUM(C96:D96)</f>
        <v>2361352</v>
      </c>
      <c r="C96" s="216">
        <f t="shared" ref="C96:R96" si="27">SUM(C83:C95)</f>
        <v>2361352</v>
      </c>
      <c r="D96" s="216">
        <f t="shared" si="27"/>
        <v>0</v>
      </c>
      <c r="E96" s="216">
        <f t="shared" si="27"/>
        <v>559140</v>
      </c>
      <c r="F96" s="216">
        <f t="shared" si="27"/>
        <v>0</v>
      </c>
      <c r="G96" s="216">
        <f t="shared" si="27"/>
        <v>1802212</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3">
        <f t="shared" si="27"/>
        <v>2361352</v>
      </c>
      <c r="S96" s="220">
        <f>SUM(S84:S87,S89:S95)</f>
        <v>2152197</v>
      </c>
      <c r="T96" s="216">
        <f>SUM(T84:T87,T89:T95)</f>
        <v>0</v>
      </c>
      <c r="U96" s="213"/>
    </row>
    <row r="97" spans="1:21" s="214" customFormat="1">
      <c r="A97" s="219" t="s">
        <v>832</v>
      </c>
      <c r="B97" s="216">
        <f>SUM(C97:D97)</f>
        <v>36689247</v>
      </c>
      <c r="C97" s="216">
        <f t="shared" ref="C97:R97" si="28">SUM(C63+C70+C77+C81+C96)</f>
        <v>36689247</v>
      </c>
      <c r="D97" s="216">
        <f t="shared" si="28"/>
        <v>0</v>
      </c>
      <c r="E97" s="216">
        <f t="shared" si="28"/>
        <v>13221086</v>
      </c>
      <c r="F97" s="216">
        <f t="shared" si="28"/>
        <v>3134700</v>
      </c>
      <c r="G97" s="216">
        <f t="shared" si="28"/>
        <v>13003254</v>
      </c>
      <c r="H97" s="216">
        <f t="shared" si="28"/>
        <v>3235000</v>
      </c>
      <c r="I97" s="216">
        <f t="shared" si="28"/>
        <v>4000000</v>
      </c>
      <c r="J97" s="216">
        <f t="shared" si="28"/>
        <v>95207</v>
      </c>
      <c r="K97" s="216">
        <f t="shared" si="28"/>
        <v>0</v>
      </c>
      <c r="L97" s="216">
        <f t="shared" si="28"/>
        <v>0</v>
      </c>
      <c r="M97" s="216">
        <f t="shared" si="28"/>
        <v>0</v>
      </c>
      <c r="N97" s="216">
        <f t="shared" si="28"/>
        <v>0</v>
      </c>
      <c r="O97" s="216">
        <f t="shared" si="28"/>
        <v>0</v>
      </c>
      <c r="P97" s="216">
        <f t="shared" si="28"/>
        <v>0</v>
      </c>
      <c r="Q97" s="216">
        <f t="shared" si="28"/>
        <v>0</v>
      </c>
      <c r="R97" s="216">
        <f t="shared" si="28"/>
        <v>36689247</v>
      </c>
      <c r="S97" s="216">
        <f>SUM(S63+S70+S81+S96)</f>
        <v>31856004</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1100000</v>
      </c>
      <c r="C99" s="1701">
        <v>1100000</v>
      </c>
      <c r="D99" s="1701"/>
      <c r="E99" s="217">
        <f>+C99-K99</f>
        <v>1099900</v>
      </c>
      <c r="F99" s="217"/>
      <c r="G99" s="217"/>
      <c r="H99" s="217"/>
      <c r="I99" s="217"/>
      <c r="J99" s="217"/>
      <c r="K99" s="217">
        <v>100</v>
      </c>
      <c r="L99" s="217"/>
      <c r="M99" s="217"/>
      <c r="N99" s="217"/>
      <c r="O99" s="217"/>
      <c r="P99" s="217"/>
      <c r="Q99" s="217"/>
      <c r="R99" s="878">
        <f t="shared" ref="R99:R103" si="29">SUM(E99:Q99)</f>
        <v>1100000</v>
      </c>
      <c r="S99" s="217">
        <f>R99</f>
        <v>1100000</v>
      </c>
      <c r="T99" s="217"/>
      <c r="U99" s="213"/>
    </row>
    <row r="100" spans="1:21" s="214" customFormat="1">
      <c r="A100" s="439" t="s">
        <v>1997</v>
      </c>
      <c r="B100" s="216">
        <f t="shared" ref="B100:B103" si="30">SUM(C100+D100)</f>
        <v>0</v>
      </c>
      <c r="C100" s="217"/>
      <c r="D100" s="217"/>
      <c r="E100" s="217"/>
      <c r="F100" s="217"/>
      <c r="G100" s="217"/>
      <c r="H100" s="217"/>
      <c r="I100" s="217"/>
      <c r="J100" s="217"/>
      <c r="K100" s="217"/>
      <c r="L100" s="217"/>
      <c r="M100" s="217"/>
      <c r="N100" s="217"/>
      <c r="O100" s="217"/>
      <c r="P100" s="217"/>
      <c r="Q100" s="217"/>
      <c r="R100" s="878">
        <f t="shared" si="29"/>
        <v>0</v>
      </c>
      <c r="S100" s="217"/>
      <c r="T100" s="217"/>
      <c r="U100" s="213"/>
    </row>
    <row r="101" spans="1:21" s="214" customFormat="1" ht="12" customHeight="1">
      <c r="A101" s="215" t="s">
        <v>835</v>
      </c>
      <c r="B101" s="216">
        <f t="shared" si="30"/>
        <v>0</v>
      </c>
      <c r="C101" s="217"/>
      <c r="D101" s="217"/>
      <c r="E101" s="217"/>
      <c r="F101" s="217"/>
      <c r="G101" s="217"/>
      <c r="H101" s="217"/>
      <c r="I101" s="217"/>
      <c r="J101" s="217"/>
      <c r="K101" s="217"/>
      <c r="L101" s="217"/>
      <c r="M101" s="217"/>
      <c r="N101" s="217"/>
      <c r="O101" s="217"/>
      <c r="P101" s="217"/>
      <c r="Q101" s="217"/>
      <c r="R101" s="878">
        <f t="shared" si="29"/>
        <v>0</v>
      </c>
      <c r="S101" s="217"/>
      <c r="T101" s="217"/>
      <c r="U101" s="213"/>
    </row>
    <row r="102" spans="1:21" s="214" customFormat="1">
      <c r="A102" s="439" t="s">
        <v>1998</v>
      </c>
      <c r="B102" s="216">
        <f t="shared" si="30"/>
        <v>0</v>
      </c>
      <c r="C102" s="217"/>
      <c r="D102" s="217"/>
      <c r="E102" s="217"/>
      <c r="F102" s="217"/>
      <c r="G102" s="217"/>
      <c r="H102" s="217"/>
      <c r="I102" s="217"/>
      <c r="J102" s="217"/>
      <c r="K102" s="217"/>
      <c r="L102" s="217"/>
      <c r="M102" s="217"/>
      <c r="N102" s="217"/>
      <c r="O102" s="217"/>
      <c r="P102" s="217"/>
      <c r="Q102" s="217"/>
      <c r="R102" s="878">
        <f t="shared" si="29"/>
        <v>0</v>
      </c>
      <c r="S102" s="217"/>
      <c r="T102" s="217"/>
      <c r="U102" s="213"/>
    </row>
    <row r="103" spans="1:21" s="214" customFormat="1" ht="36">
      <c r="A103" s="1856" t="s">
        <v>2623</v>
      </c>
      <c r="B103" s="216">
        <f t="shared" si="30"/>
        <v>1100000</v>
      </c>
      <c r="C103" s="217">
        <f>500000+275000+325000</f>
        <v>1100000</v>
      </c>
      <c r="D103" s="217"/>
      <c r="E103" s="217">
        <f>C103</f>
        <v>1100000</v>
      </c>
      <c r="F103" s="217"/>
      <c r="G103" s="217"/>
      <c r="H103" s="217"/>
      <c r="I103" s="217"/>
      <c r="J103" s="217"/>
      <c r="K103" s="217"/>
      <c r="L103" s="217"/>
      <c r="M103" s="217"/>
      <c r="N103" s="217"/>
      <c r="O103" s="217"/>
      <c r="P103" s="217"/>
      <c r="Q103" s="217"/>
      <c r="R103" s="878">
        <f t="shared" si="29"/>
        <v>1100000</v>
      </c>
      <c r="S103" s="217"/>
      <c r="T103" s="217"/>
      <c r="U103" s="213"/>
    </row>
    <row r="104" spans="1:21" s="214" customFormat="1">
      <c r="A104" s="219" t="s">
        <v>836</v>
      </c>
      <c r="B104" s="216">
        <f>SUM(C104:D104)</f>
        <v>2200000</v>
      </c>
      <c r="C104" s="216">
        <f>SUM(C99:C103)</f>
        <v>2200000</v>
      </c>
      <c r="D104" s="216">
        <f t="shared" ref="D104:T104" si="31">SUM(D99:D103)</f>
        <v>0</v>
      </c>
      <c r="E104" s="216">
        <f t="shared" si="31"/>
        <v>2199900</v>
      </c>
      <c r="F104" s="216">
        <f t="shared" si="31"/>
        <v>0</v>
      </c>
      <c r="G104" s="216">
        <f t="shared" si="31"/>
        <v>0</v>
      </c>
      <c r="H104" s="216">
        <f t="shared" si="31"/>
        <v>0</v>
      </c>
      <c r="I104" s="216">
        <f t="shared" si="31"/>
        <v>0</v>
      </c>
      <c r="J104" s="216">
        <f t="shared" si="31"/>
        <v>0</v>
      </c>
      <c r="K104" s="216">
        <f t="shared" si="31"/>
        <v>100</v>
      </c>
      <c r="L104" s="216">
        <f t="shared" si="31"/>
        <v>0</v>
      </c>
      <c r="M104" s="216">
        <f t="shared" si="31"/>
        <v>0</v>
      </c>
      <c r="N104" s="216">
        <f t="shared" si="31"/>
        <v>0</v>
      </c>
      <c r="O104" s="216">
        <f t="shared" si="31"/>
        <v>0</v>
      </c>
      <c r="P104" s="216">
        <f t="shared" si="31"/>
        <v>0</v>
      </c>
      <c r="Q104" s="216">
        <f t="shared" si="31"/>
        <v>0</v>
      </c>
      <c r="R104" s="533">
        <f t="shared" si="31"/>
        <v>2200000</v>
      </c>
      <c r="S104" s="220">
        <f t="shared" si="31"/>
        <v>1100000</v>
      </c>
      <c r="T104" s="220">
        <f t="shared" si="31"/>
        <v>0</v>
      </c>
      <c r="U104" s="213"/>
    </row>
    <row r="105" spans="1:21" s="214" customFormat="1">
      <c r="A105" s="219" t="s">
        <v>837</v>
      </c>
      <c r="B105" s="220">
        <f>SUM(C105:D105)</f>
        <v>38889247</v>
      </c>
      <c r="C105" s="220">
        <f t="shared" ref="C105:R105" si="32">SUM(C97+C104)</f>
        <v>38889247</v>
      </c>
      <c r="D105" s="220">
        <f t="shared" si="32"/>
        <v>0</v>
      </c>
      <c r="E105" s="220">
        <f t="shared" si="32"/>
        <v>15420986</v>
      </c>
      <c r="F105" s="220">
        <f t="shared" si="32"/>
        <v>3134700</v>
      </c>
      <c r="G105" s="220">
        <f t="shared" si="32"/>
        <v>13003254</v>
      </c>
      <c r="H105" s="220">
        <f t="shared" si="32"/>
        <v>3235000</v>
      </c>
      <c r="I105" s="220">
        <f t="shared" si="32"/>
        <v>4000000</v>
      </c>
      <c r="J105" s="220">
        <f t="shared" si="32"/>
        <v>95207</v>
      </c>
      <c r="K105" s="220">
        <f t="shared" si="32"/>
        <v>100</v>
      </c>
      <c r="L105" s="220">
        <f t="shared" si="32"/>
        <v>0</v>
      </c>
      <c r="M105" s="220">
        <f t="shared" si="32"/>
        <v>0</v>
      </c>
      <c r="N105" s="220">
        <f t="shared" si="32"/>
        <v>0</v>
      </c>
      <c r="O105" s="220">
        <f t="shared" si="32"/>
        <v>0</v>
      </c>
      <c r="P105" s="220">
        <f t="shared" si="32"/>
        <v>0</v>
      </c>
      <c r="Q105" s="220">
        <f t="shared" si="32"/>
        <v>0</v>
      </c>
      <c r="R105" s="533">
        <f t="shared" si="32"/>
        <v>38889247</v>
      </c>
      <c r="S105" s="220">
        <f>S97+S104</f>
        <v>32956004</v>
      </c>
      <c r="T105" s="220">
        <f>T97+T104</f>
        <v>0</v>
      </c>
      <c r="U105" s="213"/>
    </row>
    <row r="106" spans="1:21">
      <c r="A106" s="865" t="s">
        <v>1131</v>
      </c>
      <c r="B106" s="227"/>
      <c r="C106" s="227"/>
      <c r="D106" s="227"/>
      <c r="H106" s="229" t="s">
        <v>97</v>
      </c>
      <c r="I106" s="229"/>
      <c r="J106" s="229"/>
      <c r="R106" s="230" t="s">
        <v>98</v>
      </c>
      <c r="S106" s="217"/>
      <c r="T106" s="217"/>
    </row>
    <row r="107" spans="1:21">
      <c r="A107" s="227" t="s">
        <v>188</v>
      </c>
      <c r="C107" s="227"/>
      <c r="D107" s="227"/>
      <c r="I107" s="232" t="s">
        <v>359</v>
      </c>
      <c r="J107" s="232"/>
      <c r="R107" s="230" t="s">
        <v>99</v>
      </c>
      <c r="S107" s="233">
        <f>S105+S106</f>
        <v>32956004</v>
      </c>
      <c r="T107" s="233">
        <f>T105+T106</f>
        <v>0</v>
      </c>
    </row>
    <row r="108" spans="1:21" s="299" customFormat="1">
      <c r="A108" s="232" t="s">
        <v>943</v>
      </c>
      <c r="B108" s="227"/>
      <c r="C108" s="227"/>
      <c r="D108" s="227"/>
      <c r="E108" s="463">
        <f>Application!AO650</f>
        <v>15420986</v>
      </c>
      <c r="F108" s="463">
        <f>Application!AO637</f>
        <v>3134700</v>
      </c>
      <c r="G108" s="463">
        <f>Application!AO638</f>
        <v>13003254</v>
      </c>
      <c r="H108" s="463">
        <f>Application!AO639</f>
        <v>3235000</v>
      </c>
      <c r="I108" s="463">
        <f>Application!AO640</f>
        <v>4000000</v>
      </c>
      <c r="J108" s="463">
        <f>Application!AO641</f>
        <v>95207</v>
      </c>
      <c r="K108" s="463">
        <f>Application!AO642</f>
        <v>100</v>
      </c>
      <c r="L108" s="463">
        <f>Application!AO643</f>
        <v>0</v>
      </c>
      <c r="M108" s="463">
        <f>Application!AO644</f>
        <v>0</v>
      </c>
      <c r="N108" s="463">
        <f>Application!AO645</f>
        <v>0</v>
      </c>
      <c r="O108" s="463">
        <f>Application!AO646</f>
        <v>0</v>
      </c>
      <c r="P108" s="463">
        <f>Application!AO647</f>
        <v>0</v>
      </c>
      <c r="Q108" s="463">
        <f>Application!AO648</f>
        <v>0</v>
      </c>
      <c r="R108" s="228"/>
      <c r="S108" s="228"/>
      <c r="T108" s="228"/>
      <c r="U108" s="298"/>
    </row>
    <row r="109" spans="1:21" ht="10.35" customHeight="1">
      <c r="A109" s="227"/>
      <c r="B109" s="227"/>
      <c r="C109" s="227"/>
      <c r="D109" s="227"/>
    </row>
    <row r="110" spans="1:21">
      <c r="A110" s="232" t="s">
        <v>1036</v>
      </c>
      <c r="B110" s="227"/>
      <c r="C110" s="227"/>
      <c r="D110" s="227"/>
    </row>
    <row r="111" spans="1:21">
      <c r="A111" s="226" t="s">
        <v>1037</v>
      </c>
      <c r="B111" s="227"/>
      <c r="C111" s="227"/>
      <c r="D111" s="227"/>
    </row>
    <row r="112" spans="1:21" ht="12" customHeight="1">
      <c r="A112" s="484"/>
      <c r="B112" s="227"/>
      <c r="C112" s="227"/>
      <c r="D112" s="227"/>
    </row>
    <row r="113" spans="1:21">
      <c r="A113" s="226" t="s">
        <v>1125</v>
      </c>
      <c r="B113" s="227"/>
      <c r="C113" s="227"/>
      <c r="D113" s="227"/>
    </row>
    <row r="114" spans="1:21">
      <c r="A114" s="226" t="s">
        <v>1126</v>
      </c>
      <c r="B114" s="227"/>
      <c r="C114" s="227"/>
      <c r="D114" s="227"/>
    </row>
    <row r="115" spans="1:21" ht="12" customHeight="1">
      <c r="A115" s="484"/>
      <c r="B115" s="227"/>
      <c r="C115" s="227"/>
      <c r="D115" s="227"/>
    </row>
    <row r="116" spans="1:21">
      <c r="A116" s="536" t="s">
        <v>1133</v>
      </c>
      <c r="B116" s="227"/>
      <c r="C116" s="227"/>
      <c r="D116" s="227"/>
    </row>
    <row r="117" spans="1:21">
      <c r="A117" s="536" t="s">
        <v>1436</v>
      </c>
      <c r="B117" s="227"/>
      <c r="C117" s="227"/>
      <c r="D117" s="227"/>
    </row>
    <row r="118" spans="1:21">
      <c r="A118" s="536" t="s">
        <v>1132</v>
      </c>
      <c r="B118" s="227"/>
      <c r="C118" s="227"/>
      <c r="D118" s="227"/>
    </row>
    <row r="119" spans="1:21">
      <c r="A119" s="536" t="s">
        <v>1134</v>
      </c>
      <c r="B119" s="227"/>
      <c r="C119" s="227"/>
      <c r="D119" s="227"/>
    </row>
    <row r="120" spans="1:21" ht="12" customHeight="1">
      <c r="A120" s="535"/>
      <c r="B120" s="227"/>
      <c r="C120" s="227"/>
      <c r="D120" s="227"/>
    </row>
    <row r="121" spans="1:21" ht="15.75">
      <c r="A121" s="529" t="s">
        <v>1109</v>
      </c>
      <c r="B121" s="227"/>
      <c r="C121" s="227"/>
      <c r="D121" s="227"/>
    </row>
    <row r="122" spans="1:21">
      <c r="A122" s="514" t="s">
        <v>1093</v>
      </c>
      <c r="B122" s="513"/>
      <c r="C122" s="513"/>
      <c r="D122" s="2585" t="s">
        <v>1094</v>
      </c>
      <c r="E122" s="2585"/>
      <c r="F122" s="2585"/>
      <c r="G122" s="513"/>
      <c r="H122" s="513"/>
      <c r="I122" s="513"/>
      <c r="J122" s="513"/>
      <c r="K122" s="513"/>
      <c r="L122" s="513"/>
      <c r="M122" s="513"/>
      <c r="N122" s="513"/>
      <c r="O122" s="513"/>
      <c r="P122" s="513"/>
      <c r="Q122" s="513"/>
      <c r="R122" s="513"/>
      <c r="S122" s="513"/>
      <c r="T122" s="513"/>
      <c r="U122" s="515"/>
    </row>
    <row r="123" spans="1:21">
      <c r="A123" s="513" t="s">
        <v>1095</v>
      </c>
      <c r="B123" s="522"/>
      <c r="C123" s="513"/>
      <c r="D123" s="2575" t="s">
        <v>1437</v>
      </c>
      <c r="E123" s="2576"/>
      <c r="F123" s="2576"/>
      <c r="G123" s="2576"/>
      <c r="H123" s="2576"/>
      <c r="I123" s="2576"/>
      <c r="J123" s="2576"/>
      <c r="K123" s="2576"/>
      <c r="L123" s="2576"/>
      <c r="M123" s="2576"/>
      <c r="N123" s="2576"/>
      <c r="O123" s="2576"/>
      <c r="P123" s="2576"/>
      <c r="Q123" s="2576"/>
      <c r="R123" s="2576"/>
      <c r="S123" s="2576"/>
      <c r="T123" s="513"/>
      <c r="U123" s="515"/>
    </row>
    <row r="124" spans="1:21" ht="12.75">
      <c r="A124" s="512" t="s">
        <v>1096</v>
      </c>
      <c r="B124" s="522"/>
      <c r="C124" s="512"/>
      <c r="D124" s="2576"/>
      <c r="E124" s="2576"/>
      <c r="F124" s="2576"/>
      <c r="G124" s="2576"/>
      <c r="H124" s="2576"/>
      <c r="I124" s="2576"/>
      <c r="J124" s="2576"/>
      <c r="K124" s="2576"/>
      <c r="L124" s="2576"/>
      <c r="M124" s="2576"/>
      <c r="N124" s="2576"/>
      <c r="O124" s="2576"/>
      <c r="P124" s="2576"/>
      <c r="Q124" s="2576"/>
      <c r="R124" s="2576"/>
      <c r="S124" s="2576"/>
      <c r="T124" s="513"/>
      <c r="U124" s="515"/>
    </row>
    <row r="125" spans="1:21" ht="12.75">
      <c r="A125" s="512" t="s">
        <v>1097</v>
      </c>
      <c r="B125" s="522">
        <f>27500+30000</f>
        <v>57500</v>
      </c>
      <c r="C125" s="512"/>
      <c r="D125" s="2576"/>
      <c r="E125" s="2576"/>
      <c r="F125" s="2576"/>
      <c r="G125" s="2576"/>
      <c r="H125" s="2576"/>
      <c r="I125" s="2576"/>
      <c r="J125" s="2576"/>
      <c r="K125" s="2576"/>
      <c r="L125" s="2576"/>
      <c r="M125" s="2576"/>
      <c r="N125" s="2576"/>
      <c r="O125" s="2576"/>
      <c r="P125" s="2576"/>
      <c r="Q125" s="2576"/>
      <c r="R125" s="2576"/>
      <c r="S125" s="2576"/>
      <c r="T125" s="513"/>
      <c r="U125" s="515"/>
    </row>
    <row r="126" spans="1:21" ht="12.75">
      <c r="A126" s="512" t="s">
        <v>1098</v>
      </c>
      <c r="B126" s="522">
        <v>75000</v>
      </c>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1099</v>
      </c>
      <c r="B127" s="522">
        <v>20000</v>
      </c>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1100</v>
      </c>
      <c r="B128" s="522"/>
      <c r="C128" s="512"/>
      <c r="D128" s="2583"/>
      <c r="E128" s="2583"/>
      <c r="F128" s="2583"/>
      <c r="G128" s="2583"/>
      <c r="H128" s="2583"/>
      <c r="I128" s="512"/>
      <c r="J128" s="2574"/>
      <c r="K128" s="2574"/>
      <c r="L128" s="512"/>
      <c r="M128" s="512"/>
      <c r="N128" s="512"/>
      <c r="O128" s="512"/>
      <c r="P128" s="512"/>
      <c r="Q128" s="512"/>
      <c r="R128" s="512"/>
      <c r="S128" s="512"/>
      <c r="T128" s="513"/>
      <c r="U128" s="515"/>
    </row>
    <row r="129" spans="1:21" ht="12.75">
      <c r="A129" s="512" t="s">
        <v>307</v>
      </c>
      <c r="B129" s="522"/>
      <c r="C129" s="512"/>
      <c r="D129" s="2584" t="s">
        <v>1101</v>
      </c>
      <c r="E129" s="2584"/>
      <c r="F129" s="2584"/>
      <c r="G129" s="2584"/>
      <c r="H129" s="2584"/>
      <c r="I129" s="512"/>
      <c r="J129" s="512" t="s">
        <v>1102</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1103</v>
      </c>
      <c r="B131" s="523">
        <f>SUM(B123:B129)</f>
        <v>152500</v>
      </c>
      <c r="C131" s="512"/>
      <c r="D131" s="2248"/>
      <c r="E131" s="2248"/>
      <c r="F131" s="2248"/>
      <c r="G131" s="2248"/>
      <c r="H131" s="2248"/>
      <c r="I131" s="512"/>
      <c r="J131" s="2248"/>
      <c r="K131" s="2248"/>
      <c r="L131" s="2248"/>
      <c r="M131" s="2248"/>
      <c r="N131" s="512"/>
      <c r="O131" s="512"/>
      <c r="P131" s="512"/>
      <c r="Q131" s="512"/>
      <c r="R131" s="512"/>
      <c r="S131" s="512"/>
      <c r="T131" s="513"/>
      <c r="U131" s="515"/>
    </row>
    <row r="132" spans="1:21" ht="12" customHeight="1">
      <c r="A132" s="526"/>
      <c r="B132" s="512"/>
      <c r="C132" s="512"/>
      <c r="D132" s="2577" t="s">
        <v>1104</v>
      </c>
      <c r="E132" s="2577"/>
      <c r="F132" s="2577"/>
      <c r="G132" s="2577"/>
      <c r="H132" s="2577"/>
      <c r="I132" s="512"/>
      <c r="J132" s="2577" t="s">
        <v>1105</v>
      </c>
      <c r="K132" s="2577"/>
      <c r="L132" s="2577"/>
      <c r="M132" s="2577"/>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1106</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1107</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78"/>
      <c r="B138" s="2579"/>
      <c r="C138" s="2579"/>
      <c r="D138" s="517"/>
      <c r="E138" s="2574"/>
      <c r="F138" s="2574"/>
      <c r="G138" s="512"/>
      <c r="H138" s="512"/>
      <c r="I138" s="512"/>
      <c r="J138" s="512"/>
      <c r="K138" s="512"/>
      <c r="L138" s="512"/>
      <c r="M138" s="512"/>
      <c r="N138" s="512"/>
      <c r="O138" s="512"/>
      <c r="P138" s="512"/>
      <c r="Q138" s="512"/>
      <c r="R138" s="512"/>
      <c r="S138" s="512"/>
      <c r="T138" s="519"/>
      <c r="U138" s="520"/>
    </row>
    <row r="139" spans="1:21" ht="12.75">
      <c r="A139" s="2572" t="s">
        <v>1108</v>
      </c>
      <c r="B139" s="2573"/>
      <c r="C139" s="2573"/>
      <c r="D139" s="517"/>
      <c r="E139" s="512" t="s">
        <v>1102</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59" stopIfTrue="1">
      <formula>T9&gt;C9</formula>
    </cfRule>
  </conditionalFormatting>
  <conditionalFormatting sqref="S10">
    <cfRule type="expression" dxfId="148" priority="258" stopIfTrue="1">
      <formula>(S10+T10)&gt;C10</formula>
    </cfRule>
  </conditionalFormatting>
  <conditionalFormatting sqref="R8">
    <cfRule type="cellIs" dxfId="147" priority="247" stopIfTrue="1" operator="notEqual">
      <formula>$B8</formula>
    </cfRule>
    <cfRule type="cellIs" priority="250" stopIfTrue="1" operator="notEqual">
      <formula>$B8</formula>
    </cfRule>
  </conditionalFormatting>
  <conditionalFormatting sqref="R4:R7 R56:R61 R45:R53 R83:R95 R99:R103">
    <cfRule type="cellIs" dxfId="146" priority="249" stopIfTrue="1" operator="notEqual">
      <formula>$B4</formula>
    </cfRule>
  </conditionalFormatting>
  <conditionalFormatting sqref="R9:R10">
    <cfRule type="cellIs" dxfId="145" priority="248" stopIfTrue="1" operator="notEqual">
      <formula>$B9</formula>
    </cfRule>
  </conditionalFormatting>
  <conditionalFormatting sqref="R11:R12">
    <cfRule type="cellIs" dxfId="144" priority="245" stopIfTrue="1" operator="notEqual">
      <formula>$B11</formula>
    </cfRule>
    <cfRule type="cellIs" priority="246" stopIfTrue="1" operator="notEqual">
      <formula>$B11</formula>
    </cfRule>
  </conditionalFormatting>
  <conditionalFormatting sqref="R13:R15">
    <cfRule type="cellIs" dxfId="143" priority="244" stopIfTrue="1" operator="notEqual">
      <formula>$B13</formula>
    </cfRule>
  </conditionalFormatting>
  <conditionalFormatting sqref="R26">
    <cfRule type="cellIs" dxfId="142" priority="242" stopIfTrue="1" operator="notEqual">
      <formula>$B26</formula>
    </cfRule>
    <cfRule type="cellIs" priority="243" stopIfTrue="1" operator="notEqual">
      <formula>$B26</formula>
    </cfRule>
  </conditionalFormatting>
  <conditionalFormatting sqref="R17:R25">
    <cfRule type="cellIs" dxfId="141" priority="241" stopIfTrue="1" operator="notEqual">
      <formula>$B17</formula>
    </cfRule>
  </conditionalFormatting>
  <conditionalFormatting sqref="R27">
    <cfRule type="cellIs" dxfId="140" priority="240" stopIfTrue="1" operator="notEqual">
      <formula>$B27</formula>
    </cfRule>
  </conditionalFormatting>
  <conditionalFormatting sqref="R38">
    <cfRule type="cellIs" dxfId="139" priority="238" stopIfTrue="1" operator="notEqual">
      <formula>$B38</formula>
    </cfRule>
    <cfRule type="cellIs" priority="239" stopIfTrue="1" operator="notEqual">
      <formula>$B38</formula>
    </cfRule>
  </conditionalFormatting>
  <conditionalFormatting sqref="R29:R37">
    <cfRule type="cellIs" dxfId="138" priority="237" stopIfTrue="1" operator="notEqual">
      <formula>$B29</formula>
    </cfRule>
  </conditionalFormatting>
  <conditionalFormatting sqref="R42">
    <cfRule type="cellIs" dxfId="137" priority="235" stopIfTrue="1" operator="notEqual">
      <formula>$B42</formula>
    </cfRule>
    <cfRule type="cellIs" priority="236" stopIfTrue="1" operator="notEqual">
      <formula>$B42</formula>
    </cfRule>
  </conditionalFormatting>
  <conditionalFormatting sqref="R40:R41">
    <cfRule type="cellIs" dxfId="136" priority="234" stopIfTrue="1" operator="notEqual">
      <formula>$B40</formula>
    </cfRule>
  </conditionalFormatting>
  <conditionalFormatting sqref="R43">
    <cfRule type="cellIs" dxfId="135" priority="233" stopIfTrue="1" operator="notEqual">
      <formula>$B43</formula>
    </cfRule>
  </conditionalFormatting>
  <conditionalFormatting sqref="R54">
    <cfRule type="cellIs" dxfId="134" priority="231" stopIfTrue="1" operator="notEqual">
      <formula>$B54</formula>
    </cfRule>
    <cfRule type="cellIs" priority="232" stopIfTrue="1" operator="notEqual">
      <formula>$B54</formula>
    </cfRule>
  </conditionalFormatting>
  <conditionalFormatting sqref="R62:R63">
    <cfRule type="cellIs" dxfId="133" priority="228" stopIfTrue="1" operator="notEqual">
      <formula>$B62</formula>
    </cfRule>
    <cfRule type="cellIs" priority="229" stopIfTrue="1" operator="notEqual">
      <formula>$B62</formula>
    </cfRule>
  </conditionalFormatting>
  <conditionalFormatting sqref="R70">
    <cfRule type="cellIs" dxfId="132" priority="225" stopIfTrue="1" operator="notEqual">
      <formula>$B70</formula>
    </cfRule>
    <cfRule type="cellIs" priority="226" stopIfTrue="1" operator="notEqual">
      <formula>$B70</formula>
    </cfRule>
  </conditionalFormatting>
  <conditionalFormatting sqref="R65:R69">
    <cfRule type="cellIs" dxfId="131" priority="224" stopIfTrue="1" operator="notEqual">
      <formula>$B65</formula>
    </cfRule>
  </conditionalFormatting>
  <conditionalFormatting sqref="R77">
    <cfRule type="cellIs" dxfId="130" priority="222" stopIfTrue="1" operator="notEqual">
      <formula>$B77</formula>
    </cfRule>
    <cfRule type="cellIs" priority="223" stopIfTrue="1" operator="notEqual">
      <formula>$B77</formula>
    </cfRule>
  </conditionalFormatting>
  <conditionalFormatting sqref="R96">
    <cfRule type="cellIs" dxfId="129" priority="220" stopIfTrue="1" operator="notEqual">
      <formula>$B96</formula>
    </cfRule>
    <cfRule type="cellIs" priority="221" stopIfTrue="1" operator="notEqual">
      <formula>$B96</formula>
    </cfRule>
  </conditionalFormatting>
  <conditionalFormatting sqref="R72:R76">
    <cfRule type="cellIs" dxfId="128" priority="219" stopIfTrue="1" operator="notEqual">
      <formula>$B72</formula>
    </cfRule>
  </conditionalFormatting>
  <conditionalFormatting sqref="R79:R80">
    <cfRule type="cellIs" dxfId="127" priority="218" stopIfTrue="1" operator="notEqual">
      <formula>$B79</formula>
    </cfRule>
  </conditionalFormatting>
  <conditionalFormatting sqref="R104:R105">
    <cfRule type="cellIs" dxfId="126" priority="215" stopIfTrue="1" operator="notEqual">
      <formula>$B104</formula>
    </cfRule>
    <cfRule type="cellIs" priority="216" stopIfTrue="1" operator="notEqual">
      <formula>$B104</formula>
    </cfRule>
  </conditionalFormatting>
  <conditionalFormatting sqref="E105:Q105">
    <cfRule type="cellIs" dxfId="125" priority="213" stopIfTrue="1" operator="notEqual">
      <formula>E$108</formula>
    </cfRule>
  </conditionalFormatting>
  <conditionalFormatting sqref="S13">
    <cfRule type="expression" dxfId="124" priority="210" stopIfTrue="1">
      <formula>(S13+T13)&gt;C13</formula>
    </cfRule>
  </conditionalFormatting>
  <conditionalFormatting sqref="S14">
    <cfRule type="expression" dxfId="123" priority="207" stopIfTrue="1">
      <formula>(S14+T14)&gt;C14</formula>
    </cfRule>
  </conditionalFormatting>
  <conditionalFormatting sqref="S17">
    <cfRule type="expression" dxfId="122" priority="206" stopIfTrue="1">
      <formula>(S17+T17)&gt;C17</formula>
    </cfRule>
  </conditionalFormatting>
  <conditionalFormatting sqref="S18">
    <cfRule type="expression" dxfId="121" priority="198" stopIfTrue="1">
      <formula>(S18+T18)&gt;C18</formula>
    </cfRule>
  </conditionalFormatting>
  <conditionalFormatting sqref="S19">
    <cfRule type="expression" dxfId="120" priority="196" stopIfTrue="1">
      <formula>(S19+T19)&gt;C19</formula>
    </cfRule>
  </conditionalFormatting>
  <conditionalFormatting sqref="S20">
    <cfRule type="expression" dxfId="119" priority="195" stopIfTrue="1">
      <formula>(S20+T20)&gt;C20</formula>
    </cfRule>
  </conditionalFormatting>
  <conditionalFormatting sqref="S21">
    <cfRule type="expression" dxfId="118" priority="194" stopIfTrue="1">
      <formula>(S21+T21)&gt;C21</formula>
    </cfRule>
  </conditionalFormatting>
  <conditionalFormatting sqref="S22">
    <cfRule type="expression" dxfId="117" priority="193" stopIfTrue="1">
      <formula>(S22+T22)&gt;C22</formula>
    </cfRule>
  </conditionalFormatting>
  <conditionalFormatting sqref="S23:S24">
    <cfRule type="expression" dxfId="116" priority="192" stopIfTrue="1">
      <formula>(S23+T23)&gt;C23</formula>
    </cfRule>
  </conditionalFormatting>
  <conditionalFormatting sqref="S25">
    <cfRule type="expression" dxfId="115" priority="191" stopIfTrue="1">
      <formula>(S25+T25)&gt;C25</formula>
    </cfRule>
  </conditionalFormatting>
  <conditionalFormatting sqref="S27">
    <cfRule type="expression" dxfId="114" priority="184" stopIfTrue="1">
      <formula>(S27+T27)&gt;C27</formula>
    </cfRule>
  </conditionalFormatting>
  <conditionalFormatting sqref="S29">
    <cfRule type="expression" dxfId="113" priority="182" stopIfTrue="1">
      <formula>(S29+T29)&gt;C29</formula>
    </cfRule>
  </conditionalFormatting>
  <conditionalFormatting sqref="S34">
    <cfRule type="expression" dxfId="112" priority="176" stopIfTrue="1">
      <formula>(S34+T34)&gt;C34</formula>
    </cfRule>
  </conditionalFormatting>
  <conditionalFormatting sqref="S40">
    <cfRule type="expression" dxfId="111" priority="166" stopIfTrue="1">
      <formula>(S40+T40)&gt;C40</formula>
    </cfRule>
  </conditionalFormatting>
  <conditionalFormatting sqref="S45">
    <cfRule type="expression" dxfId="110" priority="160" stopIfTrue="1">
      <formula>(S45+T45)&gt;C45</formula>
    </cfRule>
  </conditionalFormatting>
  <conditionalFormatting sqref="S46">
    <cfRule type="expression" dxfId="109" priority="155" stopIfTrue="1">
      <formula>(S46+T46)&gt;C46</formula>
    </cfRule>
  </conditionalFormatting>
  <conditionalFormatting sqref="S47">
    <cfRule type="expression" dxfId="108" priority="154" stopIfTrue="1">
      <formula>(S47+T47)&gt;C47</formula>
    </cfRule>
  </conditionalFormatting>
  <conditionalFormatting sqref="S48">
    <cfRule type="expression" dxfId="107" priority="153" stopIfTrue="1">
      <formula>(S48+T48)&gt;C48</formula>
    </cfRule>
  </conditionalFormatting>
  <conditionalFormatting sqref="S49">
    <cfRule type="expression" dxfId="106" priority="152" stopIfTrue="1">
      <formula>(S49+T49)&gt;C49</formula>
    </cfRule>
  </conditionalFormatting>
  <conditionalFormatting sqref="S50">
    <cfRule type="expression" dxfId="105" priority="151" stopIfTrue="1">
      <formula>(S50+T50)&gt;C50</formula>
    </cfRule>
  </conditionalFormatting>
  <conditionalFormatting sqref="S66:S68">
    <cfRule type="expression" dxfId="104" priority="137" stopIfTrue="1">
      <formula>(S66+T66)&gt;C66</formula>
    </cfRule>
  </conditionalFormatting>
  <conditionalFormatting sqref="S69">
    <cfRule type="expression" dxfId="103" priority="136" stopIfTrue="1">
      <formula>(S69+T69)&gt;C69</formula>
    </cfRule>
  </conditionalFormatting>
  <conditionalFormatting sqref="S79">
    <cfRule type="expression" dxfId="102" priority="133" stopIfTrue="1">
      <formula>(S79+T79)&gt;C79</formula>
    </cfRule>
  </conditionalFormatting>
  <conditionalFormatting sqref="S80">
    <cfRule type="expression" dxfId="101" priority="132" stopIfTrue="1">
      <formula>(S80+T80)&gt;C80</formula>
    </cfRule>
  </conditionalFormatting>
  <conditionalFormatting sqref="S84:S85">
    <cfRule type="expression" dxfId="100" priority="129" stopIfTrue="1">
      <formula>(S84+T84)&gt;C84</formula>
    </cfRule>
  </conditionalFormatting>
  <conditionalFormatting sqref="S86">
    <cfRule type="expression" dxfId="99" priority="127" stopIfTrue="1">
      <formula>(S86+T86)&gt;C86</formula>
    </cfRule>
  </conditionalFormatting>
  <conditionalFormatting sqref="S87">
    <cfRule type="expression" dxfId="98" priority="126" stopIfTrue="1">
      <formula>(S87+T87)&gt;C87</formula>
    </cfRule>
  </conditionalFormatting>
  <conditionalFormatting sqref="S89">
    <cfRule type="expression" dxfId="97" priority="121" stopIfTrue="1">
      <formula>(S89+T89)&gt;C89</formula>
    </cfRule>
  </conditionalFormatting>
  <conditionalFormatting sqref="S90">
    <cfRule type="expression" dxfId="96" priority="120" stopIfTrue="1">
      <formula>(S90+T90)&gt;C90</formula>
    </cfRule>
  </conditionalFormatting>
  <conditionalFormatting sqref="S91">
    <cfRule type="expression" dxfId="95" priority="119" stopIfTrue="1">
      <formula>(S91+T91)&gt;C91</formula>
    </cfRule>
  </conditionalFormatting>
  <conditionalFormatting sqref="S92">
    <cfRule type="expression" dxfId="94" priority="118" stopIfTrue="1">
      <formula>(S92+T92)&gt;C92</formula>
    </cfRule>
  </conditionalFormatting>
  <conditionalFormatting sqref="S93">
    <cfRule type="expression" dxfId="93" priority="117" stopIfTrue="1">
      <formula>(S93+T93)&gt;C93</formula>
    </cfRule>
  </conditionalFormatting>
  <conditionalFormatting sqref="S94">
    <cfRule type="expression" dxfId="92" priority="116" stopIfTrue="1">
      <formula>(S94+T94)&gt;C94</formula>
    </cfRule>
  </conditionalFormatting>
  <conditionalFormatting sqref="S95">
    <cfRule type="expression" dxfId="91" priority="115" stopIfTrue="1">
      <formula>(S95+T95)&gt;C95</formula>
    </cfRule>
  </conditionalFormatting>
  <conditionalFormatting sqref="S99">
    <cfRule type="expression" dxfId="90" priority="103" stopIfTrue="1">
      <formula>(S99+T99)&gt;C99</formula>
    </cfRule>
  </conditionalFormatting>
  <conditionalFormatting sqref="S100">
    <cfRule type="expression" dxfId="89" priority="102" stopIfTrue="1">
      <formula>(S100+T100)&gt;C100</formula>
    </cfRule>
  </conditionalFormatting>
  <conditionalFormatting sqref="S101">
    <cfRule type="expression" dxfId="88" priority="100" stopIfTrue="1">
      <formula>(S101+T101)&gt;C101</formula>
    </cfRule>
  </conditionalFormatting>
  <conditionalFormatting sqref="S102">
    <cfRule type="expression" dxfId="87" priority="99" stopIfTrue="1">
      <formula>(S102+T102)&gt;C102</formula>
    </cfRule>
  </conditionalFormatting>
  <conditionalFormatting sqref="S103">
    <cfRule type="expression" dxfId="86" priority="98" stopIfTrue="1">
      <formula>(S103+T103)&gt;C103</formula>
    </cfRule>
  </conditionalFormatting>
  <conditionalFormatting sqref="C10">
    <cfRule type="expression" dxfId="85" priority="90">
      <formula>"(S10+T10)&gt;C10 "</formula>
    </cfRule>
  </conditionalFormatting>
  <conditionalFormatting sqref="T10">
    <cfRule type="expression" dxfId="84" priority="88" stopIfTrue="1">
      <formula>(S10+T10)&gt;C10</formula>
    </cfRule>
  </conditionalFormatting>
  <conditionalFormatting sqref="T13">
    <cfRule type="expression" dxfId="83" priority="86" stopIfTrue="1">
      <formula>(S13+T13)&gt;C13</formula>
    </cfRule>
  </conditionalFormatting>
  <conditionalFormatting sqref="T14">
    <cfRule type="expression" dxfId="82" priority="85" stopIfTrue="1">
      <formula>(S14+T14)&gt;C14</formula>
    </cfRule>
  </conditionalFormatting>
  <conditionalFormatting sqref="T17">
    <cfRule type="expression" dxfId="81" priority="84" stopIfTrue="1">
      <formula>(S17+T17)&gt;C17</formula>
    </cfRule>
  </conditionalFormatting>
  <conditionalFormatting sqref="T18">
    <cfRule type="expression" dxfId="80" priority="67" stopIfTrue="1">
      <formula>(S18+T18)&gt;C18</formula>
    </cfRule>
  </conditionalFormatting>
  <conditionalFormatting sqref="T19">
    <cfRule type="expression" dxfId="79" priority="66" stopIfTrue="1">
      <formula>(S19+T19)&gt;C19</formula>
    </cfRule>
  </conditionalFormatting>
  <conditionalFormatting sqref="T20">
    <cfRule type="expression" dxfId="78" priority="65" stopIfTrue="1">
      <formula>(S20+T20)&gt;C20</formula>
    </cfRule>
  </conditionalFormatting>
  <conditionalFormatting sqref="T21">
    <cfRule type="expression" dxfId="77" priority="64" stopIfTrue="1">
      <formula>(S21+T21)&gt;C21</formula>
    </cfRule>
  </conditionalFormatting>
  <conditionalFormatting sqref="T22">
    <cfRule type="expression" dxfId="76" priority="63" stopIfTrue="1">
      <formula>(S22+T22)&gt;C22</formula>
    </cfRule>
  </conditionalFormatting>
  <conditionalFormatting sqref="T23:T24">
    <cfRule type="expression" dxfId="75" priority="62" stopIfTrue="1">
      <formula>(S23+T23)&gt;C23</formula>
    </cfRule>
  </conditionalFormatting>
  <conditionalFormatting sqref="T25">
    <cfRule type="expression" dxfId="74" priority="61" stopIfTrue="1">
      <formula>(S25+T25)&gt;C25</formula>
    </cfRule>
  </conditionalFormatting>
  <conditionalFormatting sqref="T27">
    <cfRule type="expression" dxfId="73" priority="59" stopIfTrue="1">
      <formula>(S27+T27)&gt;C27</formula>
    </cfRule>
  </conditionalFormatting>
  <conditionalFormatting sqref="T29">
    <cfRule type="expression" dxfId="72" priority="58" stopIfTrue="1">
      <formula>(S29+T29)&gt;C29</formula>
    </cfRule>
  </conditionalFormatting>
  <conditionalFormatting sqref="T30">
    <cfRule type="expression" dxfId="71" priority="56" stopIfTrue="1">
      <formula>(S30+T30)&gt;C30</formula>
    </cfRule>
  </conditionalFormatting>
  <conditionalFormatting sqref="T31">
    <cfRule type="expression" dxfId="70" priority="55" stopIfTrue="1">
      <formula>(S31+T31)&gt;C31</formula>
    </cfRule>
  </conditionalFormatting>
  <conditionalFormatting sqref="T32">
    <cfRule type="expression" dxfId="69" priority="54" stopIfTrue="1">
      <formula>(S32+T32)&gt;C32</formula>
    </cfRule>
  </conditionalFormatting>
  <conditionalFormatting sqref="T33">
    <cfRule type="expression" dxfId="68" priority="53" stopIfTrue="1">
      <formula>(S33+T33)&gt;C33</formula>
    </cfRule>
  </conditionalFormatting>
  <conditionalFormatting sqref="T34">
    <cfRule type="expression" dxfId="67" priority="52" stopIfTrue="1">
      <formula>(S34+T34)&gt;C34</formula>
    </cfRule>
  </conditionalFormatting>
  <conditionalFormatting sqref="T35:T36">
    <cfRule type="expression" dxfId="66" priority="51" stopIfTrue="1">
      <formula>(S35+T35)&gt;C35</formula>
    </cfRule>
  </conditionalFormatting>
  <conditionalFormatting sqref="T37">
    <cfRule type="expression" dxfId="65" priority="50" stopIfTrue="1">
      <formula>(S37+T37)&gt;C37</formula>
    </cfRule>
  </conditionalFormatting>
  <conditionalFormatting sqref="T40">
    <cfRule type="expression" dxfId="64" priority="49" stopIfTrue="1">
      <formula>(S40+T40)&gt;C40</formula>
    </cfRule>
  </conditionalFormatting>
  <conditionalFormatting sqref="T41">
    <cfRule type="expression" dxfId="63" priority="48" stopIfTrue="1">
      <formula>(S41+T41)&gt;C41</formula>
    </cfRule>
  </conditionalFormatting>
  <conditionalFormatting sqref="T43">
    <cfRule type="expression" dxfId="62" priority="47" stopIfTrue="1">
      <formula>(S43+T43)&gt;C43</formula>
    </cfRule>
  </conditionalFormatting>
  <conditionalFormatting sqref="T45">
    <cfRule type="expression" dxfId="61" priority="46" stopIfTrue="1">
      <formula>(S45+T45)&gt;C45</formula>
    </cfRule>
  </conditionalFormatting>
  <conditionalFormatting sqref="T46">
    <cfRule type="expression" dxfId="60" priority="45" stopIfTrue="1">
      <formula>(S46+T46)&gt;C46</formula>
    </cfRule>
  </conditionalFormatting>
  <conditionalFormatting sqref="T47">
    <cfRule type="expression" dxfId="59" priority="44" stopIfTrue="1">
      <formula>(S47+T47)&gt;C47</formula>
    </cfRule>
  </conditionalFormatting>
  <conditionalFormatting sqref="T48">
    <cfRule type="expression" dxfId="58" priority="43" stopIfTrue="1">
      <formula>(S48+T48)&gt;C48</formula>
    </cfRule>
  </conditionalFormatting>
  <conditionalFormatting sqref="T49">
    <cfRule type="expression" dxfId="57" priority="42" stopIfTrue="1">
      <formula>(S49+T49)&gt;C49</formula>
    </cfRule>
  </conditionalFormatting>
  <conditionalFormatting sqref="T50">
    <cfRule type="expression" dxfId="56" priority="41" stopIfTrue="1">
      <formula>(S50+T50)&gt;C50</formula>
    </cfRule>
  </conditionalFormatting>
  <conditionalFormatting sqref="T51">
    <cfRule type="expression" dxfId="55" priority="40" stopIfTrue="1">
      <formula>(S51+T51)&gt;C51</formula>
    </cfRule>
  </conditionalFormatting>
  <conditionalFormatting sqref="T52">
    <cfRule type="expression" dxfId="54" priority="39" stopIfTrue="1">
      <formula>(S52+T52)&gt;C52</formula>
    </cfRule>
  </conditionalFormatting>
  <conditionalFormatting sqref="T53">
    <cfRule type="expression" dxfId="53" priority="37" stopIfTrue="1">
      <formula>(S53+T53)&gt;C53</formula>
    </cfRule>
  </conditionalFormatting>
  <conditionalFormatting sqref="T65:T68">
    <cfRule type="expression" dxfId="52" priority="36" stopIfTrue="1">
      <formula>(S65+T65)&gt;C65</formula>
    </cfRule>
  </conditionalFormatting>
  <conditionalFormatting sqref="T69">
    <cfRule type="expression" dxfId="51" priority="35" stopIfTrue="1">
      <formula>(S69+T69)&gt;C69</formula>
    </cfRule>
  </conditionalFormatting>
  <conditionalFormatting sqref="T79">
    <cfRule type="expression" dxfId="50" priority="34" stopIfTrue="1">
      <formula>(S79+T79)&gt;C79</formula>
    </cfRule>
  </conditionalFormatting>
  <conditionalFormatting sqref="T80">
    <cfRule type="expression" dxfId="49" priority="33" stopIfTrue="1">
      <formula>(S80+T80)&gt;C80</formula>
    </cfRule>
  </conditionalFormatting>
  <conditionalFormatting sqref="T84">
    <cfRule type="expression" dxfId="48" priority="32" stopIfTrue="1">
      <formula>(S84+T84)&gt;C84</formula>
    </cfRule>
  </conditionalFormatting>
  <conditionalFormatting sqref="T85">
    <cfRule type="expression" dxfId="47" priority="31" stopIfTrue="1">
      <formula>(S85+T85)&gt;C85</formula>
    </cfRule>
  </conditionalFormatting>
  <conditionalFormatting sqref="T86">
    <cfRule type="expression" dxfId="46" priority="30" stopIfTrue="1">
      <formula>(S86+T86)&gt;C86</formula>
    </cfRule>
  </conditionalFormatting>
  <conditionalFormatting sqref="T87">
    <cfRule type="expression" dxfId="45" priority="29" stopIfTrue="1">
      <formula>(S87+T87)&gt;C87</formula>
    </cfRule>
  </conditionalFormatting>
  <conditionalFormatting sqref="T89">
    <cfRule type="expression" dxfId="44" priority="28" stopIfTrue="1">
      <formula>(S89+T89)&gt;C89</formula>
    </cfRule>
  </conditionalFormatting>
  <conditionalFormatting sqref="T90">
    <cfRule type="expression" dxfId="43" priority="27" stopIfTrue="1">
      <formula>(S90+T90)&gt;C90</formula>
    </cfRule>
  </conditionalFormatting>
  <conditionalFormatting sqref="T91">
    <cfRule type="expression" dxfId="42" priority="26" stopIfTrue="1">
      <formula>(S91+T91)&gt;C91</formula>
    </cfRule>
  </conditionalFormatting>
  <conditionalFormatting sqref="T92">
    <cfRule type="expression" dxfId="41" priority="25" stopIfTrue="1">
      <formula>(S92+T92)&gt;C92</formula>
    </cfRule>
  </conditionalFormatting>
  <conditionalFormatting sqref="T93">
    <cfRule type="expression" dxfId="40" priority="24" stopIfTrue="1">
      <formula>(S93+T93)&gt;C93</formula>
    </cfRule>
  </conditionalFormatting>
  <conditionalFormatting sqref="T94">
    <cfRule type="expression" dxfId="39" priority="23" stopIfTrue="1">
      <formula>(S94+T94)&gt;C94</formula>
    </cfRule>
  </conditionalFormatting>
  <conditionalFormatting sqref="T95">
    <cfRule type="expression" dxfId="38" priority="22" stopIfTrue="1">
      <formula>(S95+T95)&gt;C95</formula>
    </cfRule>
  </conditionalFormatting>
  <conditionalFormatting sqref="T99">
    <cfRule type="expression" dxfId="37" priority="19" stopIfTrue="1">
      <formula>(S99+T99)&gt;C99</formula>
    </cfRule>
  </conditionalFormatting>
  <conditionalFormatting sqref="T100">
    <cfRule type="expression" dxfId="36" priority="18" stopIfTrue="1">
      <formula>(S100+T100)&gt;C100</formula>
    </cfRule>
  </conditionalFormatting>
  <conditionalFormatting sqref="T101">
    <cfRule type="expression" dxfId="35" priority="16" stopIfTrue="1">
      <formula>(S101+T101)&gt;C101</formula>
    </cfRule>
  </conditionalFormatting>
  <conditionalFormatting sqref="T102">
    <cfRule type="expression" dxfId="34" priority="15" stopIfTrue="1">
      <formula>(S102+T102)&gt;C102</formula>
    </cfRule>
  </conditionalFormatting>
  <conditionalFormatting sqref="T103">
    <cfRule type="expression" dxfId="33" priority="14" stopIfTrue="1">
      <formula>(S103+T103)&gt;C103</formula>
    </cfRule>
  </conditionalFormatting>
  <conditionalFormatting sqref="S30">
    <cfRule type="expression" dxfId="32" priority="13" stopIfTrue="1">
      <formula>(S30+T30)&gt;C30</formula>
    </cfRule>
  </conditionalFormatting>
  <conditionalFormatting sqref="S31">
    <cfRule type="expression" dxfId="31" priority="12" stopIfTrue="1">
      <formula>(S31+T31)&gt;C31</formula>
    </cfRule>
  </conditionalFormatting>
  <conditionalFormatting sqref="S32">
    <cfRule type="expression" dxfId="30" priority="11" stopIfTrue="1">
      <formula>(S32+T32)&gt;C32</formula>
    </cfRule>
  </conditionalFormatting>
  <conditionalFormatting sqref="S33">
    <cfRule type="expression" dxfId="29" priority="10" stopIfTrue="1">
      <formula>(S33+T33)&gt;C33</formula>
    </cfRule>
  </conditionalFormatting>
  <conditionalFormatting sqref="S35">
    <cfRule type="expression" dxfId="28" priority="9" stopIfTrue="1">
      <formula>(S35+T35)&gt;C35</formula>
    </cfRule>
  </conditionalFormatting>
  <conditionalFormatting sqref="S36">
    <cfRule type="expression" dxfId="27" priority="8" stopIfTrue="1">
      <formula>(S36+T36)&gt;C36</formula>
    </cfRule>
  </conditionalFormatting>
  <conditionalFormatting sqref="S37">
    <cfRule type="expression" dxfId="26" priority="7" stopIfTrue="1">
      <formula>(S37+T37)&gt;C37</formula>
    </cfRule>
  </conditionalFormatting>
  <conditionalFormatting sqref="S41">
    <cfRule type="expression" dxfId="25" priority="6" stopIfTrue="1">
      <formula>(S41+T41)&gt;C41</formula>
    </cfRule>
  </conditionalFormatting>
  <conditionalFormatting sqref="S43">
    <cfRule type="expression" dxfId="24" priority="5" stopIfTrue="1">
      <formula>(S43+T43)&gt;C43</formula>
    </cfRule>
  </conditionalFormatting>
  <conditionalFormatting sqref="S51">
    <cfRule type="expression" dxfId="23" priority="4" stopIfTrue="1">
      <formula>(S51+T51)&gt;C51</formula>
    </cfRule>
  </conditionalFormatting>
  <conditionalFormatting sqref="S52">
    <cfRule type="expression" dxfId="22" priority="3" stopIfTrue="1">
      <formula>(S52+T52)&gt;C52</formula>
    </cfRule>
  </conditionalFormatting>
  <conditionalFormatting sqref="S53">
    <cfRule type="expression" dxfId="21" priority="2" stopIfTrue="1">
      <formula>(S53+T53)&gt;C53</formula>
    </cfRule>
  </conditionalFormatting>
  <conditionalFormatting sqref="S65">
    <cfRule type="expression" dxfId="20" priority="1" stopIfTrue="1">
      <formula>(S65+T65)&gt;C65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H102" sqref="H102"/>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592" t="s">
        <v>1440</v>
      </c>
      <c r="B1" s="2593"/>
      <c r="C1" s="2593"/>
      <c r="D1" s="2593"/>
      <c r="E1" s="2593"/>
      <c r="F1" s="2593"/>
      <c r="G1" s="2593"/>
      <c r="H1" s="2593"/>
      <c r="I1" s="2593"/>
      <c r="J1" s="2594"/>
      <c r="K1" s="558"/>
    </row>
    <row r="2" spans="1:11" s="614" customFormat="1" ht="72">
      <c r="A2" s="610"/>
      <c r="B2" s="611" t="s">
        <v>1138</v>
      </c>
      <c r="C2" s="611" t="s">
        <v>1442</v>
      </c>
      <c r="D2" s="612" t="s">
        <v>1443</v>
      </c>
      <c r="E2" s="611" t="s">
        <v>1350</v>
      </c>
      <c r="F2" s="611" t="s">
        <v>1444</v>
      </c>
      <c r="G2" s="611" t="s">
        <v>1445</v>
      </c>
      <c r="H2" s="611" t="s">
        <v>1139</v>
      </c>
      <c r="I2" s="611" t="s">
        <v>1446</v>
      </c>
      <c r="J2" s="611" t="s">
        <v>1447</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2655000</v>
      </c>
      <c r="C4" s="565"/>
      <c r="D4" s="565"/>
      <c r="E4" s="566"/>
      <c r="F4" s="566"/>
      <c r="G4" s="566"/>
      <c r="H4" s="566"/>
      <c r="I4" s="566"/>
      <c r="J4" s="566"/>
      <c r="K4" s="562"/>
    </row>
    <row r="5" spans="1:11" s="563" customFormat="1">
      <c r="A5" s="567" t="s">
        <v>29</v>
      </c>
      <c r="B5" s="564">
        <f>'Sources and Uses Budget'!C5</f>
        <v>306280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627</v>
      </c>
      <c r="B8" s="564">
        <f>'Sources and Uses Budget'!C8</f>
        <v>2961280</v>
      </c>
      <c r="C8" s="564">
        <f>SUM(C4:C7)</f>
        <v>0</v>
      </c>
      <c r="D8" s="564">
        <f>SUM(D4:D7)</f>
        <v>0</v>
      </c>
      <c r="E8" s="566"/>
      <c r="F8" s="566"/>
      <c r="G8" s="566"/>
      <c r="H8" s="566"/>
      <c r="I8" s="566"/>
      <c r="J8" s="566"/>
      <c r="K8" s="562"/>
    </row>
    <row r="9" spans="1:11" s="563" customFormat="1">
      <c r="A9" s="567" t="s">
        <v>628</v>
      </c>
      <c r="B9" s="564">
        <f>'Sources and Uses Budget'!C9</f>
        <v>0</v>
      </c>
      <c r="C9" s="565"/>
      <c r="D9" s="565"/>
      <c r="E9" s="566"/>
      <c r="F9" s="566"/>
      <c r="G9" s="566"/>
      <c r="H9" s="564">
        <f>'Sources and Uses Budget'!T9</f>
        <v>0</v>
      </c>
      <c r="I9" s="565"/>
      <c r="J9" s="565"/>
      <c r="K9" s="562"/>
    </row>
    <row r="10" spans="1:11" s="563" customFormat="1">
      <c r="A10" s="567" t="s">
        <v>629</v>
      </c>
      <c r="B10" s="564">
        <f>'Sources and Uses Budget'!C10</f>
        <v>0</v>
      </c>
      <c r="C10" s="565"/>
      <c r="D10" s="565"/>
      <c r="E10" s="564">
        <f>'Sources and Uses Budget'!S10</f>
        <v>0</v>
      </c>
      <c r="F10" s="565"/>
      <c r="G10" s="565"/>
      <c r="H10" s="564">
        <f>'Sources and Uses Budget'!T10</f>
        <v>0</v>
      </c>
      <c r="I10" s="565"/>
      <c r="J10" s="565"/>
      <c r="K10" s="562"/>
    </row>
    <row r="11" spans="1:11" s="563" customFormat="1">
      <c r="A11" s="568" t="s">
        <v>630</v>
      </c>
      <c r="B11" s="564">
        <f>'Sources and Uses Budget'!C11</f>
        <v>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2961280</v>
      </c>
      <c r="C12" s="564">
        <f>SUM(C8+C11)</f>
        <v>0</v>
      </c>
      <c r="D12" s="564">
        <f>SUM(D8+D11)</f>
        <v>0</v>
      </c>
      <c r="E12" s="566"/>
      <c r="F12" s="566"/>
      <c r="G12" s="566"/>
      <c r="H12" s="566"/>
      <c r="I12" s="566"/>
      <c r="J12" s="566"/>
      <c r="K12" s="562"/>
    </row>
    <row r="13" spans="1:11" s="563" customFormat="1">
      <c r="A13" s="569" t="s">
        <v>970</v>
      </c>
      <c r="B13" s="564">
        <f>'Sources and Uses Budget'!C13</f>
        <v>285000</v>
      </c>
      <c r="C13" s="565"/>
      <c r="D13" s="565"/>
      <c r="E13" s="564">
        <f>'Sources and Uses Budget'!S13</f>
        <v>0</v>
      </c>
      <c r="F13" s="565"/>
      <c r="G13" s="565"/>
      <c r="H13" s="564">
        <f>'Sources and Uses Budget'!T13</f>
        <v>0</v>
      </c>
      <c r="I13" s="565"/>
      <c r="J13" s="565"/>
      <c r="K13" s="562"/>
    </row>
    <row r="14" spans="1:11" s="563" customFormat="1" ht="24">
      <c r="A14" s="570" t="s">
        <v>971</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1354</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631</v>
      </c>
      <c r="B16" s="561"/>
      <c r="C16" s="561"/>
      <c r="D16" s="561"/>
      <c r="E16" s="561"/>
      <c r="F16" s="561"/>
      <c r="G16" s="561"/>
      <c r="H16" s="561"/>
      <c r="I16" s="561"/>
      <c r="J16" s="561"/>
      <c r="K16" s="562"/>
    </row>
    <row r="17" spans="1:11" s="563" customFormat="1">
      <c r="A17" s="567" t="s">
        <v>632</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633</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634</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1991</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632</v>
      </c>
      <c r="B29" s="564">
        <f>'Sources and Uses Budget'!C29</f>
        <v>2365234</v>
      </c>
      <c r="C29" s="565"/>
      <c r="D29" s="565"/>
      <c r="E29" s="564">
        <f>'Sources and Uses Budget'!S29</f>
        <v>2365234</v>
      </c>
      <c r="F29" s="565"/>
      <c r="G29" s="565"/>
      <c r="H29" s="564">
        <f>'Sources and Uses Budget'!T29</f>
        <v>0</v>
      </c>
      <c r="I29" s="565"/>
      <c r="J29" s="565"/>
      <c r="K29" s="562"/>
    </row>
    <row r="30" spans="1:11" s="563" customFormat="1">
      <c r="A30" s="215" t="s">
        <v>633</v>
      </c>
      <c r="B30" s="564">
        <f>'Sources and Uses Budget'!C30</f>
        <v>20364352</v>
      </c>
      <c r="C30" s="565"/>
      <c r="D30" s="565"/>
      <c r="E30" s="564">
        <f>'Sources and Uses Budget'!S30</f>
        <v>20364352</v>
      </c>
      <c r="F30" s="565"/>
      <c r="G30" s="565"/>
      <c r="H30" s="564">
        <f>'Sources and Uses Budget'!T30</f>
        <v>0</v>
      </c>
      <c r="I30" s="565"/>
      <c r="J30" s="565"/>
      <c r="K30" s="562"/>
    </row>
    <row r="31" spans="1:11" s="563" customFormat="1">
      <c r="A31" s="215" t="s">
        <v>634</v>
      </c>
      <c r="B31" s="564">
        <f>'Sources and Uses Budget'!C31</f>
        <v>670459</v>
      </c>
      <c r="C31" s="565"/>
      <c r="D31" s="565"/>
      <c r="E31" s="564">
        <f>'Sources and Uses Budget'!S31</f>
        <v>670459</v>
      </c>
      <c r="F31" s="565"/>
      <c r="G31" s="565"/>
      <c r="H31" s="564">
        <f>'Sources and Uses Budget'!T31</f>
        <v>0</v>
      </c>
      <c r="I31" s="565"/>
      <c r="J31" s="565"/>
      <c r="K31" s="562"/>
    </row>
    <row r="32" spans="1:11" s="563" customFormat="1">
      <c r="A32" s="215" t="s">
        <v>142</v>
      </c>
      <c r="B32" s="564">
        <f>'Sources and Uses Budget'!C32</f>
        <v>383412</v>
      </c>
      <c r="C32" s="565"/>
      <c r="D32" s="565"/>
      <c r="E32" s="564">
        <f>'Sources and Uses Budget'!S32</f>
        <v>383412</v>
      </c>
      <c r="F32" s="565"/>
      <c r="G32" s="565"/>
      <c r="H32" s="564">
        <f>'Sources and Uses Budget'!T32</f>
        <v>0</v>
      </c>
      <c r="I32" s="565"/>
      <c r="J32" s="565"/>
      <c r="K32" s="562"/>
    </row>
    <row r="33" spans="1:11" s="563" customFormat="1">
      <c r="A33" s="215" t="s">
        <v>143</v>
      </c>
      <c r="B33" s="564">
        <f>'Sources and Uses Budget'!C33</f>
        <v>1232519</v>
      </c>
      <c r="C33" s="565"/>
      <c r="D33" s="565"/>
      <c r="E33" s="564">
        <f>'Sources and Uses Budget'!S33</f>
        <v>1232519</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559519</v>
      </c>
      <c r="C35" s="565"/>
      <c r="D35" s="565"/>
      <c r="E35" s="564">
        <f>'Sources and Uses Budget'!S35</f>
        <v>559519</v>
      </c>
      <c r="F35" s="565"/>
      <c r="G35" s="565"/>
      <c r="H35" s="564">
        <f>'Sources and Uses Budget'!T35</f>
        <v>0</v>
      </c>
      <c r="I35" s="565"/>
      <c r="J35" s="565"/>
      <c r="K35" s="562"/>
    </row>
    <row r="36" spans="1:11" s="563" customFormat="1">
      <c r="A36" s="857" t="s">
        <v>1991</v>
      </c>
      <c r="B36" s="564">
        <f>'Sources and Uses Budget'!C36</f>
        <v>175000</v>
      </c>
      <c r="C36" s="565"/>
      <c r="D36" s="565"/>
      <c r="E36" s="564">
        <f>'Sources and Uses Budget'!S36</f>
        <v>175000</v>
      </c>
      <c r="F36" s="565"/>
      <c r="G36" s="565"/>
      <c r="H36" s="564">
        <f>'Sources and Uses Budget'!T36</f>
        <v>0</v>
      </c>
      <c r="I36" s="565"/>
      <c r="J36" s="565"/>
      <c r="K36" s="562"/>
    </row>
    <row r="37" spans="1:11" s="563" customFormat="1">
      <c r="A37" s="570" t="str">
        <f>'Sources and Uses Budget'!$A37</f>
        <v>Other: Photo Voltaic</v>
      </c>
      <c r="B37" s="564">
        <f>'Sources and Uses Budget'!C37</f>
        <v>400000</v>
      </c>
      <c r="C37" s="565"/>
      <c r="D37" s="565"/>
      <c r="E37" s="564">
        <f>'Sources and Uses Budget'!S37</f>
        <v>400000</v>
      </c>
      <c r="F37" s="565"/>
      <c r="G37" s="565"/>
      <c r="H37" s="564">
        <f>'Sources and Uses Budget'!T37</f>
        <v>0</v>
      </c>
      <c r="I37" s="565"/>
      <c r="J37" s="565"/>
      <c r="K37" s="562"/>
    </row>
    <row r="38" spans="1:11" s="563" customFormat="1">
      <c r="A38" s="572" t="s">
        <v>148</v>
      </c>
      <c r="B38" s="564">
        <f>'Sources and Uses Budget'!C38</f>
        <v>26150495</v>
      </c>
      <c r="C38" s="564">
        <f>SUM(C29:C37)</f>
        <v>0</v>
      </c>
      <c r="D38" s="564">
        <f>SUM(D29:D37)</f>
        <v>0</v>
      </c>
      <c r="E38" s="564">
        <f>'Sources and Uses Budget'!S38</f>
        <v>26150495</v>
      </c>
      <c r="F38" s="571">
        <f>SUM(F29:F37)</f>
        <v>0</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525000</v>
      </c>
      <c r="C40" s="565"/>
      <c r="D40" s="565"/>
      <c r="E40" s="564">
        <f>'Sources and Uses Budget'!S40</f>
        <v>525000</v>
      </c>
      <c r="F40" s="565"/>
      <c r="G40" s="565"/>
      <c r="H40" s="564">
        <f>'Sources and Uses Budget'!T40</f>
        <v>0</v>
      </c>
      <c r="I40" s="565"/>
      <c r="J40" s="565"/>
      <c r="K40" s="562"/>
    </row>
    <row r="41" spans="1:11" s="563" customFormat="1">
      <c r="A41" s="567" t="s">
        <v>151</v>
      </c>
      <c r="B41" s="564">
        <f>'Sources and Uses Budget'!C41</f>
        <v>260000</v>
      </c>
      <c r="C41" s="565"/>
      <c r="D41" s="565"/>
      <c r="E41" s="564">
        <f>'Sources and Uses Budget'!S41</f>
        <v>260000</v>
      </c>
      <c r="F41" s="565"/>
      <c r="G41" s="565"/>
      <c r="H41" s="564">
        <f>'Sources and Uses Budget'!T41</f>
        <v>0</v>
      </c>
      <c r="I41" s="565"/>
      <c r="J41" s="565"/>
      <c r="K41" s="562"/>
    </row>
    <row r="42" spans="1:11" s="563" customFormat="1">
      <c r="A42" s="568" t="s">
        <v>152</v>
      </c>
      <c r="B42" s="564">
        <f>'Sources and Uses Budget'!C42</f>
        <v>785000</v>
      </c>
      <c r="C42" s="564">
        <f>SUM(C39:C41)</f>
        <v>0</v>
      </c>
      <c r="D42" s="564">
        <f>SUM(D39:D41)</f>
        <v>0</v>
      </c>
      <c r="E42" s="564">
        <f>'Sources and Uses Budget'!S42</f>
        <v>785000</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100000</v>
      </c>
      <c r="C43" s="565"/>
      <c r="D43" s="565"/>
      <c r="E43" s="564">
        <f>'Sources and Uses Budget'!S43</f>
        <v>100000</v>
      </c>
      <c r="F43" s="565"/>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1280871</v>
      </c>
      <c r="C45" s="565"/>
      <c r="D45" s="565"/>
      <c r="E45" s="564">
        <f>'Sources and Uses Budget'!S45</f>
        <v>765827</v>
      </c>
      <c r="F45" s="565"/>
      <c r="G45" s="565"/>
      <c r="H45" s="564">
        <f>'Sources and Uses Budget'!T45</f>
        <v>0</v>
      </c>
      <c r="I45" s="565"/>
      <c r="J45" s="565"/>
      <c r="K45" s="562"/>
    </row>
    <row r="46" spans="1:11" s="563" customFormat="1">
      <c r="A46" s="567" t="s">
        <v>156</v>
      </c>
      <c r="B46" s="564">
        <f>'Sources and Uses Budget'!C46</f>
        <v>276372</v>
      </c>
      <c r="C46" s="565"/>
      <c r="D46" s="565"/>
      <c r="E46" s="564">
        <f>'Sources and Uses Budget'!S46</f>
        <v>0</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7000</v>
      </c>
      <c r="C48" s="565"/>
      <c r="D48" s="565"/>
      <c r="E48" s="564">
        <f>'Sources and Uses Budget'!S48</f>
        <v>7000</v>
      </c>
      <c r="F48" s="565"/>
      <c r="G48" s="565"/>
      <c r="H48" s="564">
        <f>'Sources and Uses Budget'!T48</f>
        <v>0</v>
      </c>
      <c r="I48" s="565"/>
      <c r="J48" s="565"/>
      <c r="K48" s="562"/>
    </row>
    <row r="49" spans="1:11" s="563" customFormat="1">
      <c r="A49" s="439" t="s">
        <v>60</v>
      </c>
      <c r="B49" s="564">
        <f>'Sources and Uses Budget'!C49</f>
        <v>95207</v>
      </c>
      <c r="C49" s="565"/>
      <c r="D49" s="565"/>
      <c r="E49" s="564">
        <f>'Sources and Uses Budget'!S49</f>
        <v>0</v>
      </c>
      <c r="F49" s="565"/>
      <c r="G49" s="565"/>
      <c r="H49" s="564">
        <f>'Sources and Uses Budget'!T49</f>
        <v>0</v>
      </c>
      <c r="I49" s="565"/>
      <c r="J49" s="565"/>
      <c r="K49" s="562"/>
    </row>
    <row r="50" spans="1:11" s="563" customFormat="1">
      <c r="A50" s="567" t="s">
        <v>161</v>
      </c>
      <c r="B50" s="564">
        <f>'Sources and Uses Budget'!C50</f>
        <v>65000</v>
      </c>
      <c r="C50" s="565"/>
      <c r="D50" s="565"/>
      <c r="E50" s="564">
        <f>'Sources and Uses Budget'!S50</f>
        <v>65000</v>
      </c>
      <c r="F50" s="565"/>
      <c r="G50" s="565"/>
      <c r="H50" s="564">
        <f>'Sources and Uses Budget'!T50</f>
        <v>0</v>
      </c>
      <c r="I50" s="565"/>
      <c r="J50" s="565"/>
      <c r="K50" s="562"/>
    </row>
    <row r="51" spans="1:11" s="563" customFormat="1">
      <c r="A51" s="567" t="s">
        <v>159</v>
      </c>
      <c r="B51" s="564">
        <f>'Sources and Uses Budget'!C51</f>
        <v>53710</v>
      </c>
      <c r="C51" s="565"/>
      <c r="D51" s="565"/>
      <c r="E51" s="564">
        <f>'Sources and Uses Budget'!S51</f>
        <v>53710</v>
      </c>
      <c r="F51" s="565"/>
      <c r="G51" s="565"/>
      <c r="H51" s="564">
        <f>'Sources and Uses Budget'!T51</f>
        <v>0</v>
      </c>
      <c r="I51" s="565"/>
      <c r="J51" s="565"/>
      <c r="K51" s="562"/>
    </row>
    <row r="52" spans="1:11" s="563" customFormat="1">
      <c r="A52" s="567" t="s">
        <v>160</v>
      </c>
      <c r="B52" s="564">
        <f>'Sources and Uses Budget'!C52</f>
        <v>152000</v>
      </c>
      <c r="C52" s="565"/>
      <c r="D52" s="565"/>
      <c r="E52" s="564">
        <f>'Sources and Uses Budget'!S52</f>
        <v>152000</v>
      </c>
      <c r="F52" s="565"/>
      <c r="G52" s="565"/>
      <c r="H52" s="564">
        <f>'Sources and Uses Budget'!T52</f>
        <v>0</v>
      </c>
      <c r="I52" s="565"/>
      <c r="J52" s="565"/>
      <c r="K52" s="562"/>
    </row>
    <row r="53" spans="1:11" s="563" customFormat="1">
      <c r="A53" s="570" t="str">
        <f>'Sources and Uses Budget'!$A53</f>
        <v>Other: Construction Lender Expenses</v>
      </c>
      <c r="B53" s="564">
        <f>'Sources and Uses Budget'!C53</f>
        <v>30000</v>
      </c>
      <c r="C53" s="565"/>
      <c r="D53" s="565"/>
      <c r="E53" s="564">
        <f>'Sources and Uses Budget'!S53</f>
        <v>0</v>
      </c>
      <c r="F53" s="565"/>
      <c r="G53" s="565"/>
      <c r="H53" s="564">
        <f>'Sources and Uses Budget'!T53</f>
        <v>0</v>
      </c>
      <c r="I53" s="565"/>
      <c r="J53" s="565"/>
      <c r="K53" s="562"/>
    </row>
    <row r="54" spans="1:11" s="574" customFormat="1">
      <c r="A54" s="568" t="s">
        <v>162</v>
      </c>
      <c r="B54" s="564">
        <f>'Sources and Uses Budget'!C54</f>
        <v>1960160</v>
      </c>
      <c r="C54" s="571">
        <f>SUM(C45:C53)</f>
        <v>0</v>
      </c>
      <c r="D54" s="571">
        <f>SUM(D45:D53)</f>
        <v>0</v>
      </c>
      <c r="E54" s="564">
        <f>'Sources and Uses Budget'!S54</f>
        <v>1043537</v>
      </c>
      <c r="F54" s="571">
        <f>SUM(F45:F53)</f>
        <v>0</v>
      </c>
      <c r="G54" s="571">
        <f>SUM(G45:G53)</f>
        <v>0</v>
      </c>
      <c r="H54" s="564">
        <f>'Sources and Uses Budget'!T54</f>
        <v>0</v>
      </c>
      <c r="I54" s="571">
        <f>SUM(I45:I53)</f>
        <v>0</v>
      </c>
      <c r="J54" s="571">
        <f>SUM(J45:J53)</f>
        <v>0</v>
      </c>
      <c r="K54" s="573"/>
    </row>
    <row r="55" spans="1:11" s="563" customFormat="1">
      <c r="A55" s="560" t="s">
        <v>438</v>
      </c>
      <c r="B55" s="561"/>
      <c r="C55" s="561"/>
      <c r="D55" s="561"/>
      <c r="E55" s="561"/>
      <c r="F55" s="561"/>
      <c r="G55" s="561"/>
      <c r="H55" s="561"/>
      <c r="I55" s="561"/>
      <c r="J55" s="561"/>
      <c r="K55" s="562"/>
    </row>
    <row r="56" spans="1:11" s="563" customFormat="1">
      <c r="A56" s="567" t="s">
        <v>163</v>
      </c>
      <c r="B56" s="564">
        <f>'Sources and Uses Budget'!C56</f>
        <v>31347</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(Legal)</v>
      </c>
      <c r="B61" s="564">
        <f>'Sources and Uses Budget'!C61</f>
        <v>10000</v>
      </c>
      <c r="C61" s="565"/>
      <c r="D61" s="565"/>
      <c r="E61" s="566"/>
      <c r="F61" s="566"/>
      <c r="G61" s="566"/>
      <c r="H61" s="566"/>
      <c r="I61" s="566"/>
      <c r="J61" s="566"/>
      <c r="K61" s="562"/>
    </row>
    <row r="62" spans="1:11" s="563" customFormat="1" ht="13.9" customHeight="1">
      <c r="A62" s="568" t="s">
        <v>308</v>
      </c>
      <c r="B62" s="564">
        <f>'Sources and Uses Budget'!C62</f>
        <v>41347</v>
      </c>
      <c r="C62" s="564">
        <f>SUM(C56:C61)</f>
        <v>0</v>
      </c>
      <c r="D62" s="564">
        <f>SUM(D56:D61)</f>
        <v>0</v>
      </c>
      <c r="E62" s="566"/>
      <c r="F62" s="566"/>
      <c r="G62" s="566"/>
      <c r="H62" s="566"/>
      <c r="I62" s="566"/>
      <c r="J62" s="566"/>
      <c r="K62" s="562"/>
    </row>
    <row r="63" spans="1:11" s="563" customFormat="1">
      <c r="A63" s="575" t="s">
        <v>309</v>
      </c>
      <c r="B63" s="564">
        <f>'Sources and Uses Budget'!C63</f>
        <v>32283282</v>
      </c>
      <c r="C63" s="564">
        <f>SUM(C8+C11+C13+C14+C15+C26+C27+C38+C42+C43+C54+C62)</f>
        <v>0</v>
      </c>
      <c r="D63" s="564">
        <f>SUM(D8+D11+D13+D14+D15+D26+D27+D38+D42+D43+D54+D62)</f>
        <v>0</v>
      </c>
      <c r="E63" s="564">
        <f>'Sources and Uses Budget'!S63</f>
        <v>28079032</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1995</v>
      </c>
      <c r="B64" s="561"/>
      <c r="C64" s="561"/>
      <c r="D64" s="561"/>
      <c r="E64" s="561"/>
      <c r="F64" s="561"/>
      <c r="G64" s="561"/>
      <c r="H64" s="561"/>
      <c r="I64" s="561"/>
      <c r="J64" s="561"/>
      <c r="K64" s="562"/>
    </row>
    <row r="65" spans="1:11" s="563" customFormat="1">
      <c r="A65" s="215" t="s">
        <v>175</v>
      </c>
      <c r="B65" s="564">
        <f>'Sources and Uses Budget'!C65</f>
        <v>130316</v>
      </c>
      <c r="C65" s="565"/>
      <c r="D65" s="565"/>
      <c r="E65" s="564">
        <f>'Sources and Uses Budget'!S65</f>
        <v>0</v>
      </c>
      <c r="F65" s="565"/>
      <c r="G65" s="565"/>
      <c r="H65" s="564">
        <f>'Sources and Uses Budget'!T65</f>
        <v>0</v>
      </c>
      <c r="I65" s="565"/>
      <c r="J65" s="565"/>
      <c r="K65" s="562"/>
    </row>
    <row r="66" spans="1:11" s="563" customFormat="1" ht="24">
      <c r="A66" s="439" t="s">
        <v>1992</v>
      </c>
      <c r="B66" s="564">
        <f>'Sources and Uses Budget'!C66</f>
        <v>0</v>
      </c>
      <c r="C66" s="565"/>
      <c r="D66" s="565"/>
      <c r="E66" s="564">
        <f>'Sources and Uses Budget'!S66</f>
        <v>0</v>
      </c>
      <c r="F66" s="565"/>
      <c r="G66" s="565"/>
      <c r="H66" s="564">
        <f>'Sources and Uses Budget'!T66</f>
        <v>0</v>
      </c>
      <c r="I66" s="565"/>
      <c r="J66" s="565"/>
      <c r="K66" s="562"/>
    </row>
    <row r="67" spans="1:11" s="563" customFormat="1" ht="24">
      <c r="A67" s="439" t="s">
        <v>1993</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1999</v>
      </c>
      <c r="B68" s="564">
        <f>'Sources and Uses Budget'!C68</f>
        <v>0</v>
      </c>
      <c r="C68" s="565"/>
      <c r="D68" s="565"/>
      <c r="E68" s="564">
        <f>'Sources and Uses Budget'!S68</f>
        <v>0</v>
      </c>
      <c r="F68" s="565"/>
      <c r="G68" s="565"/>
      <c r="H68" s="564">
        <f>'Sources and Uses Budget'!T68</f>
        <v>0</v>
      </c>
      <c r="I68" s="565"/>
      <c r="J68" s="565"/>
      <c r="K68" s="562"/>
    </row>
    <row r="69" spans="1:11" s="563" customFormat="1" ht="24">
      <c r="A69" s="570" t="str">
        <f>'Sources and Uses Budget'!$A69</f>
        <v>Other: Construction Closing Owner Legal</v>
      </c>
      <c r="B69" s="564">
        <f>'Sources and Uses Budget'!C69</f>
        <v>76000</v>
      </c>
      <c r="C69" s="565"/>
      <c r="D69" s="565"/>
      <c r="E69" s="564">
        <f>'Sources and Uses Budget'!S69</f>
        <v>76000</v>
      </c>
      <c r="F69" s="565"/>
      <c r="G69" s="565"/>
      <c r="H69" s="564">
        <f>'Sources and Uses Budget'!T69</f>
        <v>0</v>
      </c>
      <c r="I69" s="565"/>
      <c r="J69" s="565"/>
      <c r="K69" s="562"/>
    </row>
    <row r="70" spans="1:11" s="563" customFormat="1">
      <c r="A70" s="568" t="s">
        <v>635</v>
      </c>
      <c r="B70" s="564">
        <f>'Sources and Uses Budget'!C70</f>
        <v>206316</v>
      </c>
      <c r="C70" s="564">
        <f>SUM(C64:C69)</f>
        <v>0</v>
      </c>
      <c r="D70" s="564">
        <f>SUM(D64:D69)</f>
        <v>0</v>
      </c>
      <c r="E70" s="564">
        <f>'Sources and Uses Budget'!S70</f>
        <v>76000</v>
      </c>
      <c r="F70" s="571">
        <f>SUM(F65:F69)</f>
        <v>0</v>
      </c>
      <c r="G70" s="571">
        <f>SUM(G65:G69)</f>
        <v>0</v>
      </c>
      <c r="H70" s="564">
        <f>'Sources and Uses Budget'!T70</f>
        <v>0</v>
      </c>
      <c r="I70" s="571">
        <f>SUM(I65:I69)</f>
        <v>0</v>
      </c>
      <c r="J70" s="571">
        <f>SUM(J65:J69)</f>
        <v>0</v>
      </c>
      <c r="K70" s="562"/>
    </row>
    <row r="71" spans="1:11" s="563" customFormat="1">
      <c r="A71" s="560" t="s">
        <v>636</v>
      </c>
      <c r="B71" s="561"/>
      <c r="C71" s="561"/>
      <c r="D71" s="561"/>
      <c r="E71" s="561"/>
      <c r="F71" s="561"/>
      <c r="G71" s="561"/>
      <c r="H71" s="561"/>
      <c r="I71" s="561"/>
      <c r="J71" s="561"/>
      <c r="K71" s="562"/>
    </row>
    <row r="72" spans="1:11" s="563" customFormat="1">
      <c r="A72" s="567" t="s">
        <v>637</v>
      </c>
      <c r="B72" s="564">
        <f>'Sources and Uses Budget'!C72</f>
        <v>0</v>
      </c>
      <c r="C72" s="565"/>
      <c r="D72" s="565"/>
      <c r="E72" s="566"/>
      <c r="F72" s="566"/>
      <c r="G72" s="566"/>
      <c r="H72" s="566"/>
      <c r="I72" s="566"/>
      <c r="J72" s="566"/>
      <c r="K72" s="562"/>
    </row>
    <row r="73" spans="1:11" s="563" customFormat="1">
      <c r="A73" s="567" t="s">
        <v>638</v>
      </c>
      <c r="B73" s="564">
        <f>'Sources and Uses Budget'!C73</f>
        <v>0</v>
      </c>
      <c r="C73" s="565"/>
      <c r="D73" s="565"/>
      <c r="E73" s="566"/>
      <c r="F73" s="566"/>
      <c r="G73" s="566"/>
      <c r="H73" s="566"/>
      <c r="I73" s="566"/>
      <c r="J73" s="566"/>
      <c r="K73" s="562"/>
    </row>
    <row r="74" spans="1:11" s="563" customFormat="1">
      <c r="A74" s="738" t="s">
        <v>1084</v>
      </c>
      <c r="B74" s="564">
        <f>'Sources and Uses Budget'!C74</f>
        <v>0</v>
      </c>
      <c r="C74" s="565"/>
      <c r="D74" s="565"/>
      <c r="E74" s="566"/>
      <c r="F74" s="566"/>
      <c r="G74" s="566"/>
      <c r="H74" s="566"/>
      <c r="I74" s="566"/>
      <c r="J74" s="566"/>
      <c r="K74" s="562"/>
    </row>
    <row r="75" spans="1:11" s="563" customFormat="1">
      <c r="A75" s="567" t="s">
        <v>639</v>
      </c>
      <c r="B75" s="564">
        <f>'Sources and Uses Budget'!C75</f>
        <v>177297</v>
      </c>
      <c r="C75" s="565"/>
      <c r="D75" s="565"/>
      <c r="E75" s="566"/>
      <c r="F75" s="566"/>
      <c r="G75" s="566"/>
      <c r="H75" s="566"/>
      <c r="I75" s="566"/>
      <c r="J75" s="566"/>
      <c r="K75" s="562"/>
    </row>
    <row r="76" spans="1:11" s="563" customFormat="1">
      <c r="A76" s="570" t="str">
        <f>'Sources and Uses Budget'!$A76</f>
        <v>Other: HCD Transition Reserve</v>
      </c>
      <c r="B76" s="564">
        <f>'Sources and Uses Budget'!C76</f>
        <v>112225</v>
      </c>
      <c r="C76" s="565"/>
      <c r="D76" s="565"/>
      <c r="E76" s="566"/>
      <c r="F76" s="566"/>
      <c r="G76" s="566"/>
      <c r="H76" s="566"/>
      <c r="I76" s="566"/>
      <c r="J76" s="566"/>
      <c r="K76" s="562"/>
    </row>
    <row r="77" spans="1:11" s="563" customFormat="1">
      <c r="A77" s="568" t="s">
        <v>640</v>
      </c>
      <c r="B77" s="564">
        <f>'Sources and Uses Budget'!C77</f>
        <v>289522</v>
      </c>
      <c r="C77" s="564">
        <f>SUM(C72:C76)</f>
        <v>0</v>
      </c>
      <c r="D77" s="564">
        <f>SUM(D72:D76)</f>
        <v>0</v>
      </c>
      <c r="E77" s="566"/>
      <c r="F77" s="566"/>
      <c r="G77" s="566"/>
      <c r="H77" s="566"/>
      <c r="I77" s="566"/>
      <c r="J77" s="566"/>
      <c r="K77" s="562"/>
    </row>
    <row r="78" spans="1:11" s="563" customFormat="1">
      <c r="A78" s="560" t="s">
        <v>1418</v>
      </c>
      <c r="B78" s="561"/>
      <c r="C78" s="561"/>
      <c r="D78" s="561"/>
      <c r="E78" s="561"/>
      <c r="F78" s="561"/>
      <c r="G78" s="561"/>
      <c r="H78" s="561"/>
      <c r="I78" s="561"/>
      <c r="J78" s="561"/>
      <c r="K78" s="562"/>
    </row>
    <row r="79" spans="1:11" s="563" customFormat="1">
      <c r="A79" s="567" t="s">
        <v>1420</v>
      </c>
      <c r="B79" s="564">
        <f>'Sources and Uses Budget'!C79</f>
        <v>1298775</v>
      </c>
      <c r="C79" s="565"/>
      <c r="D79" s="565"/>
      <c r="E79" s="564">
        <f>'Sources and Uses Budget'!S79</f>
        <v>1298775</v>
      </c>
      <c r="F79" s="565"/>
      <c r="G79" s="565"/>
      <c r="H79" s="564">
        <f>'Sources and Uses Budget'!T79</f>
        <v>0</v>
      </c>
      <c r="I79" s="565"/>
      <c r="J79" s="565"/>
      <c r="K79" s="562"/>
    </row>
    <row r="80" spans="1:11" s="563" customFormat="1">
      <c r="A80" s="567" t="s">
        <v>61</v>
      </c>
      <c r="B80" s="564">
        <f>'Sources and Uses Budget'!C80</f>
        <v>250000</v>
      </c>
      <c r="C80" s="565"/>
      <c r="D80" s="565"/>
      <c r="E80" s="564">
        <f>'Sources and Uses Budget'!S80</f>
        <v>250000</v>
      </c>
      <c r="F80" s="565"/>
      <c r="G80" s="565"/>
      <c r="H80" s="564">
        <f>'Sources and Uses Budget'!T80</f>
        <v>0</v>
      </c>
      <c r="I80" s="565"/>
      <c r="J80" s="565"/>
      <c r="K80" s="562"/>
    </row>
    <row r="81" spans="1:11" s="563" customFormat="1">
      <c r="A81" s="568" t="s">
        <v>1417</v>
      </c>
      <c r="B81" s="564">
        <f>'Sources and Uses Budget'!C81</f>
        <v>1548775</v>
      </c>
      <c r="C81" s="564">
        <f>SUM(C79:C80)</f>
        <v>0</v>
      </c>
      <c r="D81" s="564">
        <f>SUM(D79:D80)</f>
        <v>0</v>
      </c>
      <c r="E81" s="564">
        <f>'Sources and Uses Budget'!S81</f>
        <v>1548775</v>
      </c>
      <c r="F81" s="564">
        <f>SUM(F79:F80)</f>
        <v>0</v>
      </c>
      <c r="G81" s="564">
        <f>SUM(G79:G80)</f>
        <v>0</v>
      </c>
      <c r="H81" s="564">
        <f>'Sources and Uses Budget'!T81</f>
        <v>0</v>
      </c>
      <c r="I81" s="564">
        <f>SUM(I79:I80)</f>
        <v>0</v>
      </c>
      <c r="J81" s="564">
        <f>SUM(J79:J80)</f>
        <v>0</v>
      </c>
      <c r="K81" s="562"/>
    </row>
    <row r="82" spans="1:11" s="563" customFormat="1">
      <c r="A82" s="560" t="s">
        <v>822</v>
      </c>
      <c r="B82" s="561"/>
      <c r="C82" s="561"/>
      <c r="D82" s="561"/>
      <c r="E82" s="561"/>
      <c r="F82" s="561"/>
      <c r="G82" s="561"/>
      <c r="H82" s="561"/>
      <c r="I82" s="561"/>
      <c r="J82" s="561"/>
      <c r="K82" s="562"/>
    </row>
    <row r="83" spans="1:11" s="563" customFormat="1" ht="13.9" customHeight="1">
      <c r="A83" s="215" t="s">
        <v>823</v>
      </c>
      <c r="B83" s="564">
        <f>'Sources and Uses Budget'!C83</f>
        <v>45787</v>
      </c>
      <c r="C83" s="565"/>
      <c r="D83" s="565"/>
      <c r="E83" s="566"/>
      <c r="F83" s="566"/>
      <c r="G83" s="566"/>
      <c r="H83" s="566"/>
      <c r="I83" s="566"/>
      <c r="J83" s="566"/>
      <c r="K83" s="562"/>
    </row>
    <row r="84" spans="1:11" s="563" customFormat="1">
      <c r="A84" s="215" t="s">
        <v>824</v>
      </c>
      <c r="B84" s="564">
        <f>'Sources and Uses Budget'!C84</f>
        <v>235235</v>
      </c>
      <c r="C84" s="565"/>
      <c r="D84" s="565"/>
      <c r="E84" s="564">
        <f>'Sources and Uses Budget'!S84</f>
        <v>235235</v>
      </c>
      <c r="F84" s="565"/>
      <c r="G84" s="565"/>
      <c r="H84" s="564">
        <f>'Sources and Uses Budget'!T84</f>
        <v>0</v>
      </c>
      <c r="I84" s="565"/>
      <c r="J84" s="565"/>
      <c r="K84" s="562"/>
    </row>
    <row r="85" spans="1:11" s="563" customFormat="1">
      <c r="A85" s="215" t="s">
        <v>825</v>
      </c>
      <c r="B85" s="564">
        <f>'Sources and Uses Budget'!C85</f>
        <v>810962</v>
      </c>
      <c r="C85" s="565"/>
      <c r="D85" s="565"/>
      <c r="E85" s="564">
        <f>'Sources and Uses Budget'!S85</f>
        <v>810962</v>
      </c>
      <c r="F85" s="565"/>
      <c r="G85" s="565"/>
      <c r="H85" s="564">
        <f>'Sources and Uses Budget'!T85</f>
        <v>0</v>
      </c>
      <c r="I85" s="565"/>
      <c r="J85" s="565"/>
      <c r="K85" s="562"/>
    </row>
    <row r="86" spans="1:11" s="563" customFormat="1">
      <c r="A86" s="215" t="s">
        <v>826</v>
      </c>
      <c r="B86" s="564">
        <f>'Sources and Uses Budget'!C86</f>
        <v>911250</v>
      </c>
      <c r="C86" s="565"/>
      <c r="D86" s="565"/>
      <c r="E86" s="564">
        <f>'Sources and Uses Budget'!S86</f>
        <v>911250</v>
      </c>
      <c r="F86" s="565"/>
      <c r="G86" s="565"/>
      <c r="H86" s="564">
        <f>'Sources and Uses Budget'!T86</f>
        <v>0</v>
      </c>
      <c r="I86" s="565"/>
      <c r="J86" s="565"/>
      <c r="K86" s="562"/>
    </row>
    <row r="87" spans="1:11" s="563" customFormat="1">
      <c r="A87" s="215" t="s">
        <v>827</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828</v>
      </c>
      <c r="B88" s="564">
        <f>'Sources and Uses Budget'!C88</f>
        <v>40000</v>
      </c>
      <c r="C88" s="565"/>
      <c r="D88" s="565"/>
      <c r="E88" s="566"/>
      <c r="F88" s="566"/>
      <c r="G88" s="566"/>
      <c r="H88" s="566"/>
      <c r="I88" s="566"/>
      <c r="J88" s="566"/>
      <c r="K88" s="562"/>
    </row>
    <row r="89" spans="1:11" s="563" customFormat="1">
      <c r="A89" s="215" t="s">
        <v>829</v>
      </c>
      <c r="B89" s="564">
        <f>'Sources and Uses Budget'!C89</f>
        <v>80000</v>
      </c>
      <c r="C89" s="565"/>
      <c r="D89" s="565"/>
      <c r="E89" s="564">
        <f>'Sources and Uses Budget'!S89</f>
        <v>80000</v>
      </c>
      <c r="F89" s="565"/>
      <c r="G89" s="565"/>
      <c r="H89" s="564">
        <f>'Sources and Uses Budget'!T89</f>
        <v>0</v>
      </c>
      <c r="I89" s="565"/>
      <c r="J89" s="565"/>
      <c r="K89" s="562"/>
    </row>
    <row r="90" spans="1:11" s="563" customFormat="1">
      <c r="A90" s="215" t="s">
        <v>830</v>
      </c>
      <c r="B90" s="564">
        <f>'Sources and Uses Budget'!C90</f>
        <v>9750</v>
      </c>
      <c r="C90" s="565"/>
      <c r="D90" s="565"/>
      <c r="E90" s="564">
        <f>'Sources and Uses Budget'!S90</f>
        <v>0</v>
      </c>
      <c r="F90" s="565"/>
      <c r="G90" s="565"/>
      <c r="H90" s="564">
        <f>'Sources and Uses Budget'!T90</f>
        <v>0</v>
      </c>
      <c r="I90" s="565"/>
      <c r="J90" s="565"/>
      <c r="K90" s="562"/>
    </row>
    <row r="91" spans="1:11" s="563" customFormat="1">
      <c r="A91" s="225" t="s">
        <v>389</v>
      </c>
      <c r="B91" s="564">
        <f>'Sources and Uses Budget'!C91</f>
        <v>0</v>
      </c>
      <c r="C91" s="565"/>
      <c r="D91" s="565"/>
      <c r="E91" s="564">
        <f>'Sources and Uses Budget'!S91</f>
        <v>0</v>
      </c>
      <c r="F91" s="565"/>
      <c r="G91" s="565"/>
      <c r="H91" s="564">
        <f>'Sources and Uses Budget'!T91</f>
        <v>0</v>
      </c>
      <c r="I91" s="565"/>
      <c r="J91" s="565"/>
      <c r="K91" s="562"/>
    </row>
    <row r="92" spans="1:11" s="563" customFormat="1">
      <c r="A92" s="857" t="s">
        <v>1419</v>
      </c>
      <c r="B92" s="564">
        <f>'Sources and Uses Budget'!C92</f>
        <v>9750</v>
      </c>
      <c r="C92" s="565"/>
      <c r="D92" s="565"/>
      <c r="E92" s="564">
        <f>'Sources and Uses Budget'!S92</f>
        <v>9750</v>
      </c>
      <c r="F92" s="565"/>
      <c r="G92" s="565"/>
      <c r="H92" s="564">
        <f>'Sources and Uses Budget'!T92</f>
        <v>0</v>
      </c>
      <c r="I92" s="565"/>
      <c r="J92" s="565"/>
      <c r="K92" s="562"/>
    </row>
    <row r="93" spans="1:11" s="563" customFormat="1">
      <c r="A93" s="570" t="str">
        <f>'Sources and Uses Budget'!$A93</f>
        <v>Other: Security</v>
      </c>
      <c r="B93" s="564">
        <f>'Sources and Uses Budget'!C93</f>
        <v>105000</v>
      </c>
      <c r="C93" s="565"/>
      <c r="D93" s="565"/>
      <c r="E93" s="564">
        <f>'Sources and Uses Budget'!S93</f>
        <v>105000</v>
      </c>
      <c r="F93" s="565"/>
      <c r="G93" s="565"/>
      <c r="H93" s="564">
        <f>'Sources and Uses Budget'!T93</f>
        <v>0</v>
      </c>
      <c r="I93" s="565"/>
      <c r="J93" s="565"/>
      <c r="K93" s="562"/>
    </row>
    <row r="94" spans="1:11" s="563" customFormat="1">
      <c r="A94" s="570" t="str">
        <f>'Sources and Uses Budget'!$A94</f>
        <v>Other: Permanent Relocation</v>
      </c>
      <c r="B94" s="564">
        <f>'Sources and Uses Budget'!C94</f>
        <v>98618</v>
      </c>
      <c r="C94" s="565"/>
      <c r="D94" s="565"/>
      <c r="E94" s="564">
        <f>'Sources and Uses Budget'!S94</f>
        <v>0</v>
      </c>
      <c r="F94" s="565"/>
      <c r="G94" s="565"/>
      <c r="H94" s="564">
        <f>'Sources and Uses Budget'!T94</f>
        <v>0</v>
      </c>
      <c r="I94" s="565"/>
      <c r="J94" s="565"/>
      <c r="K94" s="562"/>
    </row>
    <row r="95" spans="1:11" s="563" customFormat="1" ht="24">
      <c r="A95" s="570" t="str">
        <f>'Sources and Uses Budget'!$A95</f>
        <v>Other: Acquisition Title/Recording/Escrow</v>
      </c>
      <c r="B95" s="564">
        <f>'Sources and Uses Budget'!C95</f>
        <v>15000</v>
      </c>
      <c r="C95" s="565"/>
      <c r="D95" s="565"/>
      <c r="E95" s="564">
        <f>'Sources and Uses Budget'!S95</f>
        <v>0</v>
      </c>
      <c r="F95" s="565"/>
      <c r="G95" s="565"/>
      <c r="H95" s="564">
        <f>'Sources and Uses Budget'!T95</f>
        <v>0</v>
      </c>
      <c r="I95" s="565"/>
      <c r="J95" s="565"/>
      <c r="K95" s="562"/>
    </row>
    <row r="96" spans="1:11" s="563" customFormat="1">
      <c r="A96" s="568" t="s">
        <v>831</v>
      </c>
      <c r="B96" s="564">
        <f>'Sources and Uses Budget'!C96</f>
        <v>2361352</v>
      </c>
      <c r="C96" s="564">
        <f>SUM(C83:C95)</f>
        <v>0</v>
      </c>
      <c r="D96" s="564">
        <f>SUM(D83:D95)</f>
        <v>0</v>
      </c>
      <c r="E96" s="564">
        <f>'Sources and Uses Budget'!S96</f>
        <v>2152197</v>
      </c>
      <c r="F96" s="571">
        <f>SUM(F84:F87,F89:F95)</f>
        <v>0</v>
      </c>
      <c r="G96" s="571">
        <f>SUM(G84:G87,G89:G95)</f>
        <v>0</v>
      </c>
      <c r="H96" s="564">
        <f>'Sources and Uses Budget'!T96</f>
        <v>0</v>
      </c>
      <c r="I96" s="564">
        <f>SUM(I84:I87,I89:I95)</f>
        <v>0</v>
      </c>
      <c r="J96" s="564">
        <f>SUM(J84:J87,J89:J95)</f>
        <v>0</v>
      </c>
      <c r="K96" s="562"/>
    </row>
    <row r="97" spans="1:11" s="563" customFormat="1">
      <c r="A97" s="568" t="s">
        <v>1140</v>
      </c>
      <c r="B97" s="564">
        <f>'Sources and Uses Budget'!C97</f>
        <v>36689247</v>
      </c>
      <c r="C97" s="564">
        <f>SUM(C63+C70+C77+C81+C96)</f>
        <v>0</v>
      </c>
      <c r="D97" s="564">
        <f>SUM(D63+D70+D77+D81+D96)</f>
        <v>0</v>
      </c>
      <c r="E97" s="564">
        <f>'Sources and Uses Budget'!S97</f>
        <v>31856004</v>
      </c>
      <c r="F97" s="571">
        <f>SUM(+F63+F70+F81+F96)</f>
        <v>0</v>
      </c>
      <c r="G97" s="571">
        <f>SUM(+G63+G70+G81+G96)</f>
        <v>0</v>
      </c>
      <c r="H97" s="564">
        <f>'Sources and Uses Budget'!T97</f>
        <v>0</v>
      </c>
      <c r="I97" s="571">
        <f>SUM(I63+I70+I81+I96)</f>
        <v>0</v>
      </c>
      <c r="J97" s="571">
        <f>SUM(J63+J70+J81+J96)</f>
        <v>0</v>
      </c>
      <c r="K97" s="562"/>
    </row>
    <row r="98" spans="1:11" s="563" customFormat="1">
      <c r="A98" s="560" t="s">
        <v>833</v>
      </c>
      <c r="B98" s="561"/>
      <c r="C98" s="561"/>
      <c r="D98" s="561"/>
      <c r="E98" s="561"/>
      <c r="F98" s="561"/>
      <c r="G98" s="561"/>
      <c r="H98" s="561"/>
      <c r="I98" s="561"/>
      <c r="J98" s="561"/>
      <c r="K98" s="562"/>
    </row>
    <row r="99" spans="1:11" s="563" customFormat="1">
      <c r="A99" s="215" t="s">
        <v>834</v>
      </c>
      <c r="B99" s="564">
        <f>'Sources and Uses Budget'!C99</f>
        <v>1100000</v>
      </c>
      <c r="C99" s="565"/>
      <c r="D99" s="565"/>
      <c r="E99" s="564">
        <f>'Sources and Uses Budget'!S99</f>
        <v>1100000</v>
      </c>
      <c r="F99" s="565"/>
      <c r="G99" s="565"/>
      <c r="H99" s="564">
        <f>'Sources and Uses Budget'!T99</f>
        <v>0</v>
      </c>
      <c r="I99" s="565"/>
      <c r="J99" s="565"/>
      <c r="K99" s="562"/>
    </row>
    <row r="100" spans="1:11" s="563" customFormat="1">
      <c r="A100" s="439" t="s">
        <v>1997</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835</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1998</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ht="36">
      <c r="A103" s="570" t="str">
        <f>'Sources and Uses Budget'!$A103</f>
        <v>Other: Perm Financing Placement, Resident Services Program Set-Up, 100% Lease-Up Fees</v>
      </c>
      <c r="B103" s="564">
        <f>'Sources and Uses Budget'!C103</f>
        <v>1100000</v>
      </c>
      <c r="C103" s="565"/>
      <c r="D103" s="565"/>
      <c r="E103" s="564">
        <f>'Sources and Uses Budget'!S103</f>
        <v>0</v>
      </c>
      <c r="F103" s="565"/>
      <c r="G103" s="565"/>
      <c r="H103" s="564">
        <f>'Sources and Uses Budget'!T103</f>
        <v>0</v>
      </c>
      <c r="I103" s="565"/>
      <c r="J103" s="565"/>
      <c r="K103" s="562"/>
    </row>
    <row r="104" spans="1:11" s="563" customFormat="1">
      <c r="A104" s="568" t="s">
        <v>836</v>
      </c>
      <c r="B104" s="564">
        <f>'Sources and Uses Budget'!C104</f>
        <v>2200000</v>
      </c>
      <c r="C104" s="564">
        <f>SUM(C99:C103)</f>
        <v>0</v>
      </c>
      <c r="D104" s="564">
        <f>SUM(D99:D103)</f>
        <v>0</v>
      </c>
      <c r="E104" s="564">
        <f>'Sources and Uses Budget'!S104</f>
        <v>1100000</v>
      </c>
      <c r="F104" s="571">
        <f>SUM(F99:F103)</f>
        <v>0</v>
      </c>
      <c r="G104" s="571">
        <f>SUM(G99:G103)</f>
        <v>0</v>
      </c>
      <c r="H104" s="564">
        <f>'Sources and Uses Budget'!T104</f>
        <v>0</v>
      </c>
      <c r="I104" s="571">
        <f>SUM(I99:I103)</f>
        <v>0</v>
      </c>
      <c r="J104" s="571">
        <f>SUM(J99:J103)</f>
        <v>0</v>
      </c>
      <c r="K104" s="562"/>
    </row>
    <row r="105" spans="1:11" s="563" customFormat="1">
      <c r="A105" s="568" t="s">
        <v>1141</v>
      </c>
      <c r="B105" s="564">
        <f>'Sources and Uses Budget'!C105</f>
        <v>38889247</v>
      </c>
      <c r="C105" s="571">
        <f>SUM(C97+C104)</f>
        <v>0</v>
      </c>
      <c r="D105" s="571">
        <f>SUM(D97+D104)</f>
        <v>0</v>
      </c>
      <c r="E105" s="564">
        <f>'Sources and Uses Budget'!S105</f>
        <v>32956004</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392</v>
      </c>
      <c r="E107" s="564">
        <f>'Sources and Uses Budget'!S107</f>
        <v>32956004</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86"/>
      <c r="E124" s="2587"/>
      <c r="F124" s="2587"/>
      <c r="G124" s="2587"/>
      <c r="H124" s="2587"/>
      <c r="I124" s="2587"/>
      <c r="J124" s="582"/>
      <c r="K124" s="562"/>
    </row>
    <row r="125" spans="1:11" s="563" customFormat="1" ht="12.75">
      <c r="A125" s="593"/>
      <c r="B125" s="592"/>
      <c r="C125" s="593"/>
      <c r="D125" s="2587"/>
      <c r="E125" s="2587"/>
      <c r="F125" s="2587"/>
      <c r="G125" s="2587"/>
      <c r="H125" s="2587"/>
      <c r="I125" s="2587"/>
      <c r="J125" s="582"/>
      <c r="K125" s="562"/>
    </row>
    <row r="126" spans="1:11" s="563" customFormat="1" ht="12.75">
      <c r="A126" s="593"/>
      <c r="B126" s="592"/>
      <c r="C126" s="593"/>
      <c r="D126" s="2587"/>
      <c r="E126" s="2587"/>
      <c r="F126" s="2587"/>
      <c r="G126" s="2587"/>
      <c r="H126" s="2587"/>
      <c r="I126" s="2587"/>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588"/>
      <c r="B139" s="2589"/>
      <c r="C139" s="2589"/>
      <c r="D139" s="605"/>
      <c r="E139" s="593"/>
      <c r="F139" s="593"/>
      <c r="G139" s="593"/>
    </row>
    <row r="140" spans="1:11" ht="12" customHeight="1">
      <c r="A140" s="2590"/>
      <c r="B140" s="2591"/>
      <c r="C140" s="2591"/>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31" zoomScale="120" zoomScaleNormal="120" workbookViewId="0">
      <selection activeCell="N46" sqref="N46:Q46"/>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42578125" style="1525" bestFit="1" customWidth="1"/>
    <col min="71" max="71" width="6.140625" style="1525" bestFit="1" customWidth="1"/>
    <col min="72" max="76" width="5.42578125" style="1525" bestFit="1" customWidth="1"/>
    <col min="77" max="77" width="6.140625" style="1525" bestFit="1" customWidth="1"/>
    <col min="78" max="78" width="5.42578125" style="1525" bestFit="1" customWidth="1"/>
    <col min="79" max="16384" width="2.7109375" style="1525"/>
  </cols>
  <sheetData>
    <row r="1" spans="1:58" ht="15.75" customHeight="1">
      <c r="A1" s="2595" t="s">
        <v>2030</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c r="AN1" s="2596"/>
      <c r="AO1" s="2596"/>
      <c r="AP1" s="2596"/>
      <c r="AQ1" s="2596"/>
      <c r="AR1" s="2596"/>
      <c r="AS1" s="2596"/>
      <c r="AT1" s="2596"/>
      <c r="AU1" s="2596"/>
      <c r="AV1" s="2596"/>
      <c r="AW1" s="2596"/>
      <c r="AX1" s="2596"/>
      <c r="AY1" s="2596"/>
      <c r="AZ1" s="2596"/>
      <c r="BA1" s="2596"/>
      <c r="BB1" s="2596"/>
      <c r="BC1" s="2596"/>
      <c r="BD1" s="2596"/>
      <c r="BE1" s="2597"/>
    </row>
    <row r="2" spans="1:58" ht="15.75" customHeight="1">
      <c r="A2" s="2598" t="s">
        <v>2031</v>
      </c>
      <c r="B2" s="2599"/>
      <c r="C2" s="2599"/>
      <c r="D2" s="2599"/>
      <c r="E2" s="2599"/>
      <c r="F2" s="2599"/>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599"/>
      <c r="AZ2" s="2599"/>
      <c r="BA2" s="2599"/>
      <c r="BB2" s="2599"/>
      <c r="BC2" s="2599"/>
      <c r="BD2" s="2599"/>
      <c r="BE2" s="2600"/>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601" t="str">
        <f>IF(Application!H18="","",Application!H18)</f>
        <v>Entrada Apartments</v>
      </c>
      <c r="M4" s="2602"/>
      <c r="N4" s="2602"/>
      <c r="O4" s="2602"/>
      <c r="P4" s="2602"/>
      <c r="Q4" s="2602"/>
      <c r="R4" s="2602"/>
      <c r="S4" s="2602"/>
      <c r="T4" s="2602"/>
      <c r="U4" s="2602"/>
      <c r="V4" s="2602"/>
      <c r="W4" s="2602"/>
      <c r="X4" s="2602"/>
      <c r="Y4" s="2602"/>
      <c r="Z4" s="2602"/>
      <c r="AA4" s="2602"/>
      <c r="AB4" s="2602"/>
      <c r="AC4" s="2603"/>
      <c r="AD4" s="1528"/>
      <c r="AE4" s="1528"/>
      <c r="AF4" s="2604" t="s">
        <v>2032</v>
      </c>
      <c r="AG4" s="2605"/>
      <c r="AH4" s="2605"/>
      <c r="AI4" s="2605"/>
      <c r="AJ4" s="2605"/>
      <c r="AK4" s="2605"/>
      <c r="AL4" s="2605"/>
      <c r="AM4" s="2605"/>
      <c r="AN4" s="2605"/>
      <c r="AO4" s="2605"/>
      <c r="AP4" s="2606">
        <v>44197</v>
      </c>
      <c r="AQ4" s="2607"/>
      <c r="AR4" s="2607"/>
      <c r="AS4" s="2607"/>
      <c r="AT4" s="2607"/>
      <c r="AU4" s="2608"/>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09" t="s">
        <v>2033</v>
      </c>
      <c r="AG5" s="2610"/>
      <c r="AH5" s="2610"/>
      <c r="AI5" s="2610"/>
      <c r="AJ5" s="2610"/>
      <c r="AK5" s="2610"/>
      <c r="AL5" s="2610"/>
      <c r="AM5" s="2610"/>
      <c r="AN5" s="2610"/>
      <c r="AO5" s="2610"/>
      <c r="AP5" s="2606">
        <v>44197</v>
      </c>
      <c r="AQ5" s="2607"/>
      <c r="AR5" s="2607"/>
      <c r="AS5" s="2607"/>
      <c r="AT5" s="2607"/>
      <c r="AU5" s="2608"/>
      <c r="AV5" s="1528"/>
      <c r="AW5" s="1528"/>
      <c r="AX5" s="1528"/>
      <c r="AY5" s="1528"/>
      <c r="AZ5" s="1528"/>
      <c r="BA5" s="1528"/>
      <c r="BB5" s="1528"/>
      <c r="BC5" s="1528"/>
      <c r="BD5" s="1528"/>
      <c r="BE5" s="1529"/>
    </row>
    <row r="6" spans="1:58" ht="15.75" customHeight="1" thickBot="1">
      <c r="A6" s="1816"/>
      <c r="B6" s="1530" t="s">
        <v>2034</v>
      </c>
      <c r="C6" s="1528"/>
      <c r="D6" s="1528"/>
      <c r="E6" s="1528"/>
      <c r="F6" s="1528"/>
      <c r="G6" s="1528"/>
      <c r="H6" s="1528"/>
      <c r="I6" s="1528"/>
      <c r="J6" s="1528"/>
      <c r="K6" s="1528"/>
      <c r="L6" s="2625" t="str">
        <f>IF(Application!H16="","",Application!H16)</f>
        <v>Wakeland Entrada LP</v>
      </c>
      <c r="M6" s="2626"/>
      <c r="N6" s="2626"/>
      <c r="O6" s="2626"/>
      <c r="P6" s="2626"/>
      <c r="Q6" s="2626"/>
      <c r="R6" s="2626"/>
      <c r="S6" s="2626"/>
      <c r="T6" s="2626"/>
      <c r="U6" s="2626"/>
      <c r="V6" s="2626"/>
      <c r="W6" s="2626"/>
      <c r="X6" s="2626"/>
      <c r="Y6" s="2626"/>
      <c r="Z6" s="2626"/>
      <c r="AA6" s="2626"/>
      <c r="AB6" s="2626"/>
      <c r="AC6" s="2627"/>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2035</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28" t="str">
        <f>Application!T196</f>
        <v>No</v>
      </c>
      <c r="AC8" s="2629"/>
      <c r="AD8" s="2630"/>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2037</v>
      </c>
      <c r="C10" s="1530"/>
      <c r="D10" s="1530"/>
      <c r="E10" s="1530"/>
      <c r="F10" s="1530"/>
      <c r="G10" s="1530"/>
      <c r="H10" s="1530"/>
      <c r="I10" s="1530"/>
      <c r="J10" s="1530"/>
      <c r="K10" s="1530"/>
      <c r="L10" s="1530"/>
      <c r="M10" s="1528"/>
      <c r="N10" s="2631" t="e">
        <f>VLOOKUP("CalHFA Permanent Loan",Application!C564:AS575,37,TRUE)</f>
        <v>#N/A</v>
      </c>
      <c r="O10" s="2632"/>
      <c r="P10" s="2632"/>
      <c r="Q10" s="2632"/>
      <c r="R10" s="2632"/>
      <c r="S10" s="2632"/>
      <c r="T10" s="2633"/>
      <c r="U10" s="1528"/>
      <c r="V10" s="1528"/>
      <c r="W10" s="1528"/>
      <c r="X10" s="2611" t="s">
        <v>2038</v>
      </c>
      <c r="Y10" s="2612"/>
      <c r="Z10" s="2612"/>
      <c r="AA10" s="2612"/>
      <c r="AB10" s="2612"/>
      <c r="AC10" s="2612"/>
      <c r="AD10" s="2612"/>
      <c r="AE10" s="2612"/>
      <c r="AF10" s="2612"/>
      <c r="AG10" s="2612"/>
      <c r="AH10" s="2612"/>
      <c r="AI10" s="2612"/>
      <c r="AJ10" s="2612"/>
      <c r="AK10" s="2613"/>
      <c r="AL10" s="2617">
        <f>Application!W471</f>
        <v>0</v>
      </c>
      <c r="AM10" s="2618"/>
      <c r="AN10" s="2618"/>
      <c r="AO10" s="2618"/>
      <c r="AP10" s="2619"/>
      <c r="AQ10" s="1531"/>
      <c r="AR10" s="1531"/>
      <c r="AS10" s="1531"/>
      <c r="AT10" s="1531"/>
      <c r="AU10" s="1531"/>
      <c r="AV10" s="1531"/>
      <c r="AW10" s="1531"/>
      <c r="AX10" s="1528"/>
      <c r="AY10" s="1528"/>
      <c r="AZ10" s="1528"/>
      <c r="BA10" s="1528"/>
      <c r="BB10" s="1528"/>
      <c r="BC10" s="1528"/>
      <c r="BD10" s="1528"/>
      <c r="BE10" s="1529"/>
    </row>
    <row r="11" spans="1:58" thickBot="1">
      <c r="A11" s="1816"/>
      <c r="B11" s="1530" t="s">
        <v>2039</v>
      </c>
      <c r="C11" s="1530"/>
      <c r="D11" s="1530"/>
      <c r="E11" s="1530"/>
      <c r="F11" s="1530"/>
      <c r="G11" s="1530"/>
      <c r="H11" s="1530"/>
      <c r="I11" s="1530"/>
      <c r="J11" s="1530"/>
      <c r="K11" s="1530"/>
      <c r="L11" s="1530"/>
      <c r="M11" s="1528"/>
      <c r="N11" s="2634">
        <f>Application!AA925</f>
        <v>0</v>
      </c>
      <c r="O11" s="2635"/>
      <c r="P11" s="2635"/>
      <c r="Q11" s="2635"/>
      <c r="R11" s="2635"/>
      <c r="S11" s="2635"/>
      <c r="T11" s="2636"/>
      <c r="U11" s="1528"/>
      <c r="V11" s="1528"/>
      <c r="W11" s="1528"/>
      <c r="X11" s="2637" t="s">
        <v>2040</v>
      </c>
      <c r="Y11" s="2638"/>
      <c r="Z11" s="2638"/>
      <c r="AA11" s="2638"/>
      <c r="AB11" s="2638"/>
      <c r="AC11" s="2638"/>
      <c r="AD11" s="2638"/>
      <c r="AE11" s="2638"/>
      <c r="AF11" s="2638"/>
      <c r="AG11" s="2638"/>
      <c r="AH11" s="2638"/>
      <c r="AI11" s="2638"/>
      <c r="AJ11" s="2638"/>
      <c r="AK11" s="2639"/>
      <c r="AL11" s="2614">
        <v>44197</v>
      </c>
      <c r="AM11" s="2615"/>
      <c r="AN11" s="2615"/>
      <c r="AO11" s="2615"/>
      <c r="AP11" s="2616"/>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11" t="s">
        <v>2041</v>
      </c>
      <c r="Y12" s="2612"/>
      <c r="Z12" s="2612"/>
      <c r="AA12" s="2612"/>
      <c r="AB12" s="2612"/>
      <c r="AC12" s="2612"/>
      <c r="AD12" s="2612"/>
      <c r="AE12" s="2612"/>
      <c r="AF12" s="2612"/>
      <c r="AG12" s="2612"/>
      <c r="AH12" s="2612"/>
      <c r="AI12" s="2612"/>
      <c r="AJ12" s="2612"/>
      <c r="AK12" s="2613"/>
      <c r="AL12" s="2614">
        <v>44197</v>
      </c>
      <c r="AM12" s="2615"/>
      <c r="AN12" s="2615"/>
      <c r="AO12" s="2615"/>
      <c r="AP12" s="2616"/>
      <c r="AQ12" s="1531"/>
      <c r="AR12" s="1531"/>
      <c r="AS12" s="1531"/>
      <c r="AT12" s="1531"/>
      <c r="AU12" s="1531"/>
      <c r="AV12" s="1528"/>
      <c r="AW12" s="1528"/>
      <c r="AX12" s="1528"/>
      <c r="AY12" s="1528"/>
      <c r="AZ12" s="1528"/>
      <c r="BA12" s="1528"/>
      <c r="BB12" s="1528"/>
      <c r="BC12" s="1528"/>
      <c r="BD12" s="1528"/>
      <c r="BE12" s="1534"/>
    </row>
    <row r="13" spans="1:58" thickBot="1">
      <c r="A13" s="1817"/>
      <c r="B13" s="2611" t="s">
        <v>2042</v>
      </c>
      <c r="C13" s="2612"/>
      <c r="D13" s="2612"/>
      <c r="E13" s="2612"/>
      <c r="F13" s="2612"/>
      <c r="G13" s="2612"/>
      <c r="H13" s="2612"/>
      <c r="I13" s="2612"/>
      <c r="J13" s="2612"/>
      <c r="K13" s="2612"/>
      <c r="L13" s="2612"/>
      <c r="M13" s="2612"/>
      <c r="N13" s="2612"/>
      <c r="O13" s="2612"/>
      <c r="P13" s="2613"/>
      <c r="Q13" s="2620" t="s">
        <v>2036</v>
      </c>
      <c r="R13" s="2607"/>
      <c r="S13" s="2607"/>
      <c r="T13" s="2608"/>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621" t="s">
        <v>2043</v>
      </c>
      <c r="C15" s="2621"/>
      <c r="D15" s="2621"/>
      <c r="E15" s="2621"/>
      <c r="F15" s="2621"/>
      <c r="G15" s="2621"/>
      <c r="H15" s="2621"/>
      <c r="I15" s="2621"/>
      <c r="J15" s="2621"/>
      <c r="K15" s="2621"/>
      <c r="L15" s="2622"/>
      <c r="M15" s="2604" t="s">
        <v>2044</v>
      </c>
      <c r="N15" s="2605"/>
      <c r="O15" s="2605"/>
      <c r="P15" s="2605"/>
      <c r="Q15" s="2605"/>
      <c r="R15" s="2605"/>
      <c r="S15" s="2623" t="str">
        <f>IF(Application!AB214="","",Application!AB214)</f>
        <v/>
      </c>
      <c r="T15" s="2623"/>
      <c r="U15" s="2623"/>
      <c r="V15" s="2623"/>
      <c r="W15" s="2624"/>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640" t="s">
        <v>2045</v>
      </c>
      <c r="C17" s="2641"/>
      <c r="D17" s="2641"/>
      <c r="E17" s="2641"/>
      <c r="F17" s="2641"/>
      <c r="G17" s="2641"/>
      <c r="H17" s="2641"/>
      <c r="I17" s="2641"/>
      <c r="J17" s="2641"/>
      <c r="K17" s="2641"/>
      <c r="L17" s="2641"/>
      <c r="M17" s="2641"/>
      <c r="N17" s="2641"/>
      <c r="O17" s="2641"/>
      <c r="P17" s="2641"/>
      <c r="Q17" s="2641"/>
      <c r="R17" s="2641"/>
      <c r="S17" s="2641"/>
      <c r="T17" s="2641"/>
      <c r="U17" s="2641"/>
      <c r="V17" s="2641"/>
      <c r="W17" s="2641"/>
      <c r="X17" s="2641"/>
      <c r="Y17" s="2641"/>
      <c r="Z17" s="2641"/>
      <c r="AA17" s="2641"/>
      <c r="AB17" s="2641"/>
      <c r="AC17" s="2641"/>
      <c r="AD17" s="2641"/>
      <c r="AE17" s="2641"/>
      <c r="AF17" s="2641"/>
      <c r="AG17" s="2641"/>
      <c r="AH17" s="2641"/>
      <c r="AI17" s="2641"/>
      <c r="AJ17" s="2641"/>
      <c r="AK17" s="2641"/>
      <c r="AL17" s="2641"/>
      <c r="AM17" s="2641"/>
      <c r="AN17" s="2641"/>
      <c r="AO17" s="2641"/>
      <c r="AP17" s="2641"/>
      <c r="AQ17" s="2641"/>
      <c r="AR17" s="2641"/>
      <c r="AS17" s="2641"/>
      <c r="AT17" s="2641"/>
      <c r="AU17" s="2641"/>
      <c r="AV17" s="2641"/>
      <c r="AW17" s="2641"/>
      <c r="AX17" s="2641"/>
      <c r="AY17" s="2642"/>
      <c r="AZ17" s="1528"/>
      <c r="BA17" s="1528"/>
      <c r="BB17" s="1528"/>
      <c r="BC17" s="1528"/>
      <c r="BD17" s="1528"/>
      <c r="BE17" s="1534"/>
      <c r="BF17" s="1526"/>
    </row>
    <row r="18" spans="1:58" ht="15.75" customHeight="1">
      <c r="A18" s="1817"/>
      <c r="B18" s="2643" t="s">
        <v>2046</v>
      </c>
      <c r="C18" s="2644"/>
      <c r="D18" s="2644"/>
      <c r="E18" s="2644"/>
      <c r="F18" s="2644"/>
      <c r="G18" s="2644"/>
      <c r="H18" s="2644"/>
      <c r="I18" s="2645"/>
      <c r="J18" s="2646" t="s">
        <v>1878</v>
      </c>
      <c r="K18" s="2647"/>
      <c r="L18" s="2647"/>
      <c r="M18" s="2647"/>
      <c r="N18" s="2647"/>
      <c r="O18" s="2648"/>
      <c r="P18" s="2646" t="s">
        <v>332</v>
      </c>
      <c r="Q18" s="2647"/>
      <c r="R18" s="2647"/>
      <c r="S18" s="2647"/>
      <c r="T18" s="2647"/>
      <c r="U18" s="2648"/>
      <c r="V18" s="2646" t="s">
        <v>333</v>
      </c>
      <c r="W18" s="2647"/>
      <c r="X18" s="2647"/>
      <c r="Y18" s="2647"/>
      <c r="Z18" s="2647"/>
      <c r="AA18" s="2648"/>
      <c r="AB18" s="2646" t="s">
        <v>168</v>
      </c>
      <c r="AC18" s="2647"/>
      <c r="AD18" s="2647"/>
      <c r="AE18" s="2647"/>
      <c r="AF18" s="2647"/>
      <c r="AG18" s="2648"/>
      <c r="AH18" s="2646" t="s">
        <v>169</v>
      </c>
      <c r="AI18" s="2647"/>
      <c r="AJ18" s="2647"/>
      <c r="AK18" s="2647"/>
      <c r="AL18" s="2647"/>
      <c r="AM18" s="2648"/>
      <c r="AN18" s="2646" t="s">
        <v>170</v>
      </c>
      <c r="AO18" s="2647"/>
      <c r="AP18" s="2647"/>
      <c r="AQ18" s="2647"/>
      <c r="AR18" s="2647"/>
      <c r="AS18" s="2648"/>
      <c r="AT18" s="2646" t="s">
        <v>2047</v>
      </c>
      <c r="AU18" s="2647"/>
      <c r="AV18" s="2647"/>
      <c r="AW18" s="2647"/>
      <c r="AX18" s="2647"/>
      <c r="AY18" s="2649"/>
      <c r="AZ18" s="1528"/>
      <c r="BA18" s="1528"/>
      <c r="BB18" s="1528"/>
      <c r="BC18" s="1528"/>
      <c r="BD18" s="1528"/>
      <c r="BE18" s="1534"/>
    </row>
    <row r="19" spans="1:58" ht="15">
      <c r="A19" s="1817"/>
      <c r="B19" s="2656">
        <v>0.2</v>
      </c>
      <c r="C19" s="2657"/>
      <c r="D19" s="2657"/>
      <c r="E19" s="2657"/>
      <c r="F19" s="2657"/>
      <c r="G19" s="2657"/>
      <c r="H19" s="2657"/>
      <c r="I19" s="2657"/>
      <c r="J19" s="2646">
        <f>SUM(P19:AS19)</f>
        <v>0</v>
      </c>
      <c r="K19" s="2647"/>
      <c r="L19" s="2647"/>
      <c r="M19" s="2647"/>
      <c r="N19" s="2647"/>
      <c r="O19" s="2648"/>
      <c r="P19" s="2650" cm="1">
        <f t="array" ref="P19">SUMPRODUCT((Application!$B$728:$B$752 = 'CalHFA Addendum'!P$18)*(Application!$AH$728:$AH$752 = 'CalHFA Addendum'!$B19),Application!$G$728:$G$752)</f>
        <v>0</v>
      </c>
      <c r="Q19" s="2651"/>
      <c r="R19" s="2651"/>
      <c r="S19" s="2651"/>
      <c r="T19" s="2651"/>
      <c r="U19" s="2652"/>
      <c r="V19" s="2650" cm="1">
        <f t="array" ref="V19">SUMPRODUCT((Application!$B$728:$B$752 = 'CalHFA Addendum'!V$18)*(Application!$AH$728:$AH$752 = 'CalHFA Addendum'!$B19),Application!$G$728:$G$752)</f>
        <v>0</v>
      </c>
      <c r="W19" s="2651"/>
      <c r="X19" s="2651"/>
      <c r="Y19" s="2651"/>
      <c r="Z19" s="2651"/>
      <c r="AA19" s="2652"/>
      <c r="AB19" s="2650" cm="1">
        <f t="array" ref="AB19">SUMPRODUCT((Application!$B$728:$B$752 = 'CalHFA Addendum'!AB$18)*(Application!$AH$728:$AH$752 = 'CalHFA Addendum'!$B19),Application!$G$728:$G$752)</f>
        <v>0</v>
      </c>
      <c r="AC19" s="2651"/>
      <c r="AD19" s="2651"/>
      <c r="AE19" s="2651"/>
      <c r="AF19" s="2651"/>
      <c r="AG19" s="2652"/>
      <c r="AH19" s="2650" cm="1">
        <f t="array" ref="AH19">SUMPRODUCT((Application!$B$728:$B$752 = 'CalHFA Addendum'!AH$18)*(Application!$AH$728:$AH$752 = 'CalHFA Addendum'!$B19),Application!$G$728:$G$752)</f>
        <v>0</v>
      </c>
      <c r="AI19" s="2651"/>
      <c r="AJ19" s="2651"/>
      <c r="AK19" s="2651"/>
      <c r="AL19" s="2651"/>
      <c r="AM19" s="2652"/>
      <c r="AN19" s="2650" cm="1">
        <f t="array" ref="AN19">SUMPRODUCT((Application!$B$728:$B$752 = 'CalHFA Addendum'!AN$18)*(Application!$AH$728:$AH$752 = 'CalHFA Addendum'!$B19),Application!$G$728:$G$752)</f>
        <v>0</v>
      </c>
      <c r="AO19" s="2651"/>
      <c r="AP19" s="2651"/>
      <c r="AQ19" s="2651"/>
      <c r="AR19" s="2651"/>
      <c r="AS19" s="2652"/>
      <c r="AT19" s="2653">
        <f t="shared" ref="AT19:AT27" si="0">J19/$J$29</f>
        <v>0</v>
      </c>
      <c r="AU19" s="2654"/>
      <c r="AV19" s="2654"/>
      <c r="AW19" s="2654"/>
      <c r="AX19" s="2654"/>
      <c r="AY19" s="2655"/>
      <c r="AZ19" s="1535"/>
      <c r="BA19" s="1528"/>
      <c r="BB19" s="1528"/>
      <c r="BC19" s="1528"/>
      <c r="BD19" s="1528"/>
      <c r="BE19" s="1534"/>
    </row>
    <row r="20" spans="1:58" ht="15" customHeight="1">
      <c r="A20" s="1817"/>
      <c r="B20" s="2656">
        <v>0.3</v>
      </c>
      <c r="C20" s="2657"/>
      <c r="D20" s="2657"/>
      <c r="E20" s="2657"/>
      <c r="F20" s="2657"/>
      <c r="G20" s="2657"/>
      <c r="H20" s="2657"/>
      <c r="I20" s="2657"/>
      <c r="J20" s="2646">
        <f t="shared" ref="J20:J27" si="1">SUM(P20:AS20)</f>
        <v>13</v>
      </c>
      <c r="K20" s="2647"/>
      <c r="L20" s="2647"/>
      <c r="M20" s="2647"/>
      <c r="N20" s="2647"/>
      <c r="O20" s="2648"/>
      <c r="P20" s="2650" cm="1">
        <f t="array" ref="P20">SUMPRODUCT((Application!$B$728:$B$752 = 'CalHFA Addendum'!P$18)*(Application!$AH$728:$AH$752 = 'CalHFA Addendum'!$B20),Application!$G$728:$G$752)</f>
        <v>0</v>
      </c>
      <c r="Q20" s="2651"/>
      <c r="R20" s="2651"/>
      <c r="S20" s="2651"/>
      <c r="T20" s="2651"/>
      <c r="U20" s="2652"/>
      <c r="V20" s="2650" cm="1">
        <f t="array" ref="V20">SUMPRODUCT((Application!$B$728:$B$752 = 'CalHFA Addendum'!V$18)*(Application!$AH$728:$AH$752 = 'CalHFA Addendum'!$B20),Application!$G$728:$G$752)</f>
        <v>5</v>
      </c>
      <c r="W20" s="2651"/>
      <c r="X20" s="2651"/>
      <c r="Y20" s="2651"/>
      <c r="Z20" s="2651"/>
      <c r="AA20" s="2652"/>
      <c r="AB20" s="2650" cm="1">
        <f t="array" ref="AB20">SUMPRODUCT((Application!$B$728:$B$752 = 'CalHFA Addendum'!AB$18)*(Application!$AH$728:$AH$752 = 'CalHFA Addendum'!$B20),Application!$G$728:$G$752)</f>
        <v>5</v>
      </c>
      <c r="AC20" s="2651"/>
      <c r="AD20" s="2651"/>
      <c r="AE20" s="2651"/>
      <c r="AF20" s="2651"/>
      <c r="AG20" s="2652"/>
      <c r="AH20" s="2650" cm="1">
        <f t="array" ref="AH20">SUMPRODUCT((Application!$B$728:$B$752 = 'CalHFA Addendum'!AH$18)*(Application!$AH$728:$AH$752 = 'CalHFA Addendum'!$B20),Application!$G$728:$G$752)</f>
        <v>3</v>
      </c>
      <c r="AI20" s="2651"/>
      <c r="AJ20" s="2651"/>
      <c r="AK20" s="2651"/>
      <c r="AL20" s="2651"/>
      <c r="AM20" s="2652"/>
      <c r="AN20" s="2650" cm="1">
        <f t="array" ref="AN20">SUMPRODUCT((Application!$B$728:$B$752 = 'CalHFA Addendum'!AN$18)*(Application!$AH$728:$AH$752 = 'CalHFA Addendum'!$B20),Application!$G$728:$G$752)</f>
        <v>0</v>
      </c>
      <c r="AO20" s="2651"/>
      <c r="AP20" s="2651"/>
      <c r="AQ20" s="2651"/>
      <c r="AR20" s="2651"/>
      <c r="AS20" s="2652"/>
      <c r="AT20" s="2653">
        <f t="shared" si="0"/>
        <v>0.2</v>
      </c>
      <c r="AU20" s="2654"/>
      <c r="AV20" s="2654"/>
      <c r="AW20" s="2654"/>
      <c r="AX20" s="2654"/>
      <c r="AY20" s="2655"/>
      <c r="AZ20" s="1528"/>
      <c r="BA20" s="1528"/>
      <c r="BB20" s="1528"/>
      <c r="BC20" s="1528"/>
      <c r="BD20" s="1528"/>
      <c r="BE20" s="1534"/>
    </row>
    <row r="21" spans="1:58" ht="15">
      <c r="A21" s="1817"/>
      <c r="B21" s="2656">
        <v>0.4</v>
      </c>
      <c r="C21" s="2657"/>
      <c r="D21" s="2657"/>
      <c r="E21" s="2657"/>
      <c r="F21" s="2657"/>
      <c r="G21" s="2657"/>
      <c r="H21" s="2657"/>
      <c r="I21" s="2657"/>
      <c r="J21" s="2646">
        <f t="shared" si="1"/>
        <v>0</v>
      </c>
      <c r="K21" s="2647"/>
      <c r="L21" s="2647"/>
      <c r="M21" s="2647"/>
      <c r="N21" s="2647"/>
      <c r="O21" s="2648"/>
      <c r="P21" s="2650" cm="1">
        <f t="array" ref="P21">SUMPRODUCT((Application!$B$728:$B$752 = 'CalHFA Addendum'!P$18)*(Application!$AH$728:$AH$752 = 'CalHFA Addendum'!$B21),Application!$G$728:$G$752)</f>
        <v>0</v>
      </c>
      <c r="Q21" s="2651"/>
      <c r="R21" s="2651"/>
      <c r="S21" s="2651"/>
      <c r="T21" s="2651"/>
      <c r="U21" s="2652"/>
      <c r="V21" s="2650" cm="1">
        <f t="array" ref="V21">SUMPRODUCT((Application!$B$728:$B$752 = 'CalHFA Addendum'!V$18)*(Application!$AH$728:$AH$752 = 'CalHFA Addendum'!$B21),Application!$G$728:$G$752)</f>
        <v>0</v>
      </c>
      <c r="W21" s="2651"/>
      <c r="X21" s="2651"/>
      <c r="Y21" s="2651"/>
      <c r="Z21" s="2651"/>
      <c r="AA21" s="2652"/>
      <c r="AB21" s="2650" cm="1">
        <f t="array" ref="AB21">SUMPRODUCT((Application!$B$728:$B$752 = 'CalHFA Addendum'!AB$18)*(Application!$AH$728:$AH$752 = 'CalHFA Addendum'!$B21),Application!$G$728:$G$752)</f>
        <v>0</v>
      </c>
      <c r="AC21" s="2651"/>
      <c r="AD21" s="2651"/>
      <c r="AE21" s="2651"/>
      <c r="AF21" s="2651"/>
      <c r="AG21" s="2652"/>
      <c r="AH21" s="2650" cm="1">
        <f t="array" ref="AH21">SUMPRODUCT((Application!$B$728:$B$752 = 'CalHFA Addendum'!AH$18)*(Application!$AH$728:$AH$752 = 'CalHFA Addendum'!$B21),Application!$G$728:$G$752)</f>
        <v>0</v>
      </c>
      <c r="AI21" s="2651"/>
      <c r="AJ21" s="2651"/>
      <c r="AK21" s="2651"/>
      <c r="AL21" s="2651"/>
      <c r="AM21" s="2652"/>
      <c r="AN21" s="2650" cm="1">
        <f t="array" ref="AN21">SUMPRODUCT((Application!$B$728:$B$752 = 'CalHFA Addendum'!AN$18)*(Application!$AH$728:$AH$752 = 'CalHFA Addendum'!$B21),Application!$G$728:$G$752)</f>
        <v>0</v>
      </c>
      <c r="AO21" s="2651"/>
      <c r="AP21" s="2651"/>
      <c r="AQ21" s="2651"/>
      <c r="AR21" s="2651"/>
      <c r="AS21" s="2652"/>
      <c r="AT21" s="2653">
        <f t="shared" si="0"/>
        <v>0</v>
      </c>
      <c r="AU21" s="2654"/>
      <c r="AV21" s="2654"/>
      <c r="AW21" s="2654"/>
      <c r="AX21" s="2654"/>
      <c r="AY21" s="2655"/>
      <c r="AZ21" s="1528"/>
      <c r="BA21" s="1528"/>
      <c r="BB21" s="1528"/>
      <c r="BC21" s="1528"/>
      <c r="BD21" s="1528"/>
      <c r="BE21" s="1534"/>
    </row>
    <row r="22" spans="1:58" ht="15">
      <c r="A22" s="1817"/>
      <c r="B22" s="2656">
        <v>0.5</v>
      </c>
      <c r="C22" s="2657"/>
      <c r="D22" s="2657"/>
      <c r="E22" s="2657"/>
      <c r="F22" s="2657"/>
      <c r="G22" s="2657"/>
      <c r="H22" s="2657"/>
      <c r="I22" s="2657"/>
      <c r="J22" s="2646">
        <f t="shared" si="1"/>
        <v>38</v>
      </c>
      <c r="K22" s="2647"/>
      <c r="L22" s="2647"/>
      <c r="M22" s="2647"/>
      <c r="N22" s="2647"/>
      <c r="O22" s="2648"/>
      <c r="P22" s="2650" cm="1">
        <f t="array" ref="P22">SUMPRODUCT((Application!$B$728:$B$752 = 'CalHFA Addendum'!P$18)*(Application!$AH$728:$AH$752 = 'CalHFA Addendum'!$B22),Application!$G$728:$G$752)</f>
        <v>0</v>
      </c>
      <c r="Q22" s="2651"/>
      <c r="R22" s="2651"/>
      <c r="S22" s="2651"/>
      <c r="T22" s="2651"/>
      <c r="U22" s="2652"/>
      <c r="V22" s="2650" cm="1">
        <f t="array" ref="V22">SUMPRODUCT((Application!$B$728:$B$752 = 'CalHFA Addendum'!V$18)*(Application!$AH$728:$AH$752 = 'CalHFA Addendum'!$B22),Application!$G$728:$G$752)</f>
        <v>8</v>
      </c>
      <c r="W22" s="2651"/>
      <c r="X22" s="2651"/>
      <c r="Y22" s="2651"/>
      <c r="Z22" s="2651"/>
      <c r="AA22" s="2652"/>
      <c r="AB22" s="2650" cm="1">
        <f t="array" ref="AB22">SUMPRODUCT((Application!$B$728:$B$752 = 'CalHFA Addendum'!AB$18)*(Application!$AH$728:$AH$752 = 'CalHFA Addendum'!$B22),Application!$G$728:$G$752)</f>
        <v>12</v>
      </c>
      <c r="AC22" s="2651"/>
      <c r="AD22" s="2651"/>
      <c r="AE22" s="2651"/>
      <c r="AF22" s="2651"/>
      <c r="AG22" s="2652"/>
      <c r="AH22" s="2650" cm="1">
        <f t="array" ref="AH22">SUMPRODUCT((Application!$B$728:$B$752 = 'CalHFA Addendum'!AH$18)*(Application!$AH$728:$AH$752 = 'CalHFA Addendum'!$B22),Application!$G$728:$G$752)</f>
        <v>18</v>
      </c>
      <c r="AI22" s="2651"/>
      <c r="AJ22" s="2651"/>
      <c r="AK22" s="2651"/>
      <c r="AL22" s="2651"/>
      <c r="AM22" s="2652"/>
      <c r="AN22" s="2650" cm="1">
        <f t="array" ref="AN22">SUMPRODUCT((Application!$B$728:$B$752 = 'CalHFA Addendum'!AN$18)*(Application!$AH$728:$AH$752 = 'CalHFA Addendum'!$B22),Application!$G$728:$G$752)</f>
        <v>0</v>
      </c>
      <c r="AO22" s="2651"/>
      <c r="AP22" s="2651"/>
      <c r="AQ22" s="2651"/>
      <c r="AR22" s="2651"/>
      <c r="AS22" s="2652"/>
      <c r="AT22" s="2653">
        <f t="shared" si="0"/>
        <v>0.58461538461538465</v>
      </c>
      <c r="AU22" s="2654"/>
      <c r="AV22" s="2654"/>
      <c r="AW22" s="2654"/>
      <c r="AX22" s="2654"/>
      <c r="AY22" s="2655"/>
      <c r="AZ22" s="1528"/>
      <c r="BA22" s="1528"/>
      <c r="BB22" s="1528"/>
      <c r="BC22" s="1528"/>
      <c r="BD22" s="1528"/>
      <c r="BE22" s="1534"/>
    </row>
    <row r="23" spans="1:58" ht="15">
      <c r="A23" s="1817"/>
      <c r="B23" s="2656">
        <v>0.6</v>
      </c>
      <c r="C23" s="2657"/>
      <c r="D23" s="2657"/>
      <c r="E23" s="2657"/>
      <c r="F23" s="2657"/>
      <c r="G23" s="2657"/>
      <c r="H23" s="2657"/>
      <c r="I23" s="2657"/>
      <c r="J23" s="2646">
        <f t="shared" si="1"/>
        <v>13</v>
      </c>
      <c r="K23" s="2647"/>
      <c r="L23" s="2647"/>
      <c r="M23" s="2647"/>
      <c r="N23" s="2647"/>
      <c r="O23" s="2648"/>
      <c r="P23" s="2650" cm="1">
        <f t="array" ref="P23">SUMPRODUCT((Application!$B$728:$B$752 = 'CalHFA Addendum'!P$18)*(Application!$AH$728:$AH$752 = 'CalHFA Addendum'!$B23),Application!$G$728:$G$752)</f>
        <v>0</v>
      </c>
      <c r="Q23" s="2651"/>
      <c r="R23" s="2651"/>
      <c r="S23" s="2651"/>
      <c r="T23" s="2651"/>
      <c r="U23" s="2652"/>
      <c r="V23" s="2650" cm="1">
        <f t="array" ref="V23">SUMPRODUCT((Application!$B$728:$B$752 = 'CalHFA Addendum'!V$18)*(Application!$AH$728:$AH$752 = 'CalHFA Addendum'!$B23),Application!$G$728:$G$752)</f>
        <v>2</v>
      </c>
      <c r="W23" s="2651"/>
      <c r="X23" s="2651"/>
      <c r="Y23" s="2651"/>
      <c r="Z23" s="2651"/>
      <c r="AA23" s="2652"/>
      <c r="AB23" s="2650" cm="1">
        <f t="array" ref="AB23">SUMPRODUCT((Application!$B$728:$B$752 = 'CalHFA Addendum'!AB$18)*(Application!$AH$728:$AH$752 = 'CalHFA Addendum'!$B23),Application!$G$728:$G$752)</f>
        <v>2</v>
      </c>
      <c r="AC23" s="2651"/>
      <c r="AD23" s="2651"/>
      <c r="AE23" s="2651"/>
      <c r="AF23" s="2651"/>
      <c r="AG23" s="2652"/>
      <c r="AH23" s="2650" cm="1">
        <f t="array" ref="AH23">SUMPRODUCT((Application!$B$728:$B$752 = 'CalHFA Addendum'!AH$18)*(Application!$AH$728:$AH$752 = 'CalHFA Addendum'!$B23),Application!$G$728:$G$752)</f>
        <v>9</v>
      </c>
      <c r="AI23" s="2651"/>
      <c r="AJ23" s="2651"/>
      <c r="AK23" s="2651"/>
      <c r="AL23" s="2651"/>
      <c r="AM23" s="2652"/>
      <c r="AN23" s="2650" cm="1">
        <f t="array" ref="AN23">SUMPRODUCT((Application!$B$728:$B$752 = 'CalHFA Addendum'!AN$18)*(Application!$AH$728:$AH$752 = 'CalHFA Addendum'!$B23),Application!$G$728:$G$752)</f>
        <v>0</v>
      </c>
      <c r="AO23" s="2651"/>
      <c r="AP23" s="2651"/>
      <c r="AQ23" s="2651"/>
      <c r="AR23" s="2651"/>
      <c r="AS23" s="2652"/>
      <c r="AT23" s="2653">
        <f t="shared" si="0"/>
        <v>0.2</v>
      </c>
      <c r="AU23" s="2654"/>
      <c r="AV23" s="2654"/>
      <c r="AW23" s="2654"/>
      <c r="AX23" s="2654"/>
      <c r="AY23" s="2655"/>
      <c r="AZ23" s="1528"/>
      <c r="BA23" s="1528"/>
      <c r="BB23" s="1528"/>
      <c r="BC23" s="1528"/>
      <c r="BD23" s="1528"/>
      <c r="BE23" s="1534"/>
    </row>
    <row r="24" spans="1:58" ht="15">
      <c r="A24" s="1817"/>
      <c r="B24" s="2656">
        <v>0.7</v>
      </c>
      <c r="C24" s="2657"/>
      <c r="D24" s="2657"/>
      <c r="E24" s="2657"/>
      <c r="F24" s="2657"/>
      <c r="G24" s="2657"/>
      <c r="H24" s="2657"/>
      <c r="I24" s="2657"/>
      <c r="J24" s="2646">
        <f t="shared" si="1"/>
        <v>0</v>
      </c>
      <c r="K24" s="2647"/>
      <c r="L24" s="2647"/>
      <c r="M24" s="2647"/>
      <c r="N24" s="2647"/>
      <c r="O24" s="2648"/>
      <c r="P24" s="2650" cm="1">
        <f t="array" ref="P24">SUMPRODUCT((Application!$B$728:$B$752 = 'CalHFA Addendum'!P$18)*(Application!$AH$728:$AH$752 = 'CalHFA Addendum'!$B24),Application!$G$728:$G$752)</f>
        <v>0</v>
      </c>
      <c r="Q24" s="2651"/>
      <c r="R24" s="2651"/>
      <c r="S24" s="2651"/>
      <c r="T24" s="2651"/>
      <c r="U24" s="2652"/>
      <c r="V24" s="2650" cm="1">
        <f t="array" ref="V24">SUMPRODUCT((Application!$B$728:$B$752 = 'CalHFA Addendum'!V$18)*(Application!$AH$728:$AH$752 = 'CalHFA Addendum'!$B24),Application!$G$728:$G$752)</f>
        <v>0</v>
      </c>
      <c r="W24" s="2651"/>
      <c r="X24" s="2651"/>
      <c r="Y24" s="2651"/>
      <c r="Z24" s="2651"/>
      <c r="AA24" s="2652"/>
      <c r="AB24" s="2650" cm="1">
        <f t="array" ref="AB24">SUMPRODUCT((Application!$B$728:$B$752 = 'CalHFA Addendum'!AB$18)*(Application!$AH$728:$AH$752 = 'CalHFA Addendum'!$B24),Application!$G$728:$G$752)</f>
        <v>0</v>
      </c>
      <c r="AC24" s="2651"/>
      <c r="AD24" s="2651"/>
      <c r="AE24" s="2651"/>
      <c r="AF24" s="2651"/>
      <c r="AG24" s="2652"/>
      <c r="AH24" s="2650" cm="1">
        <f t="array" ref="AH24">SUMPRODUCT((Application!$B$728:$B$752 = 'CalHFA Addendum'!AH$18)*(Application!$AH$728:$AH$752 = 'CalHFA Addendum'!$B24),Application!$G$728:$G$752)</f>
        <v>0</v>
      </c>
      <c r="AI24" s="2651"/>
      <c r="AJ24" s="2651"/>
      <c r="AK24" s="2651"/>
      <c r="AL24" s="2651"/>
      <c r="AM24" s="2652"/>
      <c r="AN24" s="2650" cm="1">
        <f t="array" ref="AN24">SUMPRODUCT((Application!$B$728:$B$752 = 'CalHFA Addendum'!AN$18)*(Application!$AH$728:$AH$752 = 'CalHFA Addendum'!$B24),Application!$G$728:$G$752)</f>
        <v>0</v>
      </c>
      <c r="AO24" s="2651"/>
      <c r="AP24" s="2651"/>
      <c r="AQ24" s="2651"/>
      <c r="AR24" s="2651"/>
      <c r="AS24" s="2652"/>
      <c r="AT24" s="2653">
        <f t="shared" si="0"/>
        <v>0</v>
      </c>
      <c r="AU24" s="2654"/>
      <c r="AV24" s="2654"/>
      <c r="AW24" s="2654"/>
      <c r="AX24" s="2654"/>
      <c r="AY24" s="2655"/>
      <c r="AZ24" s="1528"/>
      <c r="BA24" s="1528"/>
      <c r="BB24" s="1528"/>
      <c r="BC24" s="1528"/>
      <c r="BD24" s="1528"/>
      <c r="BE24" s="1534"/>
    </row>
    <row r="25" spans="1:58" ht="15">
      <c r="A25" s="1817"/>
      <c r="B25" s="2656">
        <v>0.8</v>
      </c>
      <c r="C25" s="2657"/>
      <c r="D25" s="2657"/>
      <c r="E25" s="2657"/>
      <c r="F25" s="2657"/>
      <c r="G25" s="2657"/>
      <c r="H25" s="2657"/>
      <c r="I25" s="2657"/>
      <c r="J25" s="2646">
        <f t="shared" si="1"/>
        <v>0</v>
      </c>
      <c r="K25" s="2647"/>
      <c r="L25" s="2647"/>
      <c r="M25" s="2647"/>
      <c r="N25" s="2647"/>
      <c r="O25" s="2648"/>
      <c r="P25" s="2650" cm="1">
        <f t="array" ref="P25">SUMPRODUCT((Application!$B$728:$B$752 = 'CalHFA Addendum'!P$18)*(Application!$AH$728:$AH$752 = 'CalHFA Addendum'!$B25),Application!$G$728:$G$752)</f>
        <v>0</v>
      </c>
      <c r="Q25" s="2651"/>
      <c r="R25" s="2651"/>
      <c r="S25" s="2651"/>
      <c r="T25" s="2651"/>
      <c r="U25" s="2652"/>
      <c r="V25" s="2650" cm="1">
        <f t="array" ref="V25">SUMPRODUCT((Application!$B$728:$B$752 = 'CalHFA Addendum'!V$18)*(Application!$AH$728:$AH$752 = 'CalHFA Addendum'!$B25),Application!$G$728:$G$752)</f>
        <v>0</v>
      </c>
      <c r="W25" s="2651"/>
      <c r="X25" s="2651"/>
      <c r="Y25" s="2651"/>
      <c r="Z25" s="2651"/>
      <c r="AA25" s="2652"/>
      <c r="AB25" s="2650" cm="1">
        <f t="array" ref="AB25">SUMPRODUCT((Application!$B$728:$B$752 = 'CalHFA Addendum'!AB$18)*(Application!$AH$728:$AH$752 = 'CalHFA Addendum'!$B25),Application!$G$728:$G$752)</f>
        <v>0</v>
      </c>
      <c r="AC25" s="2651"/>
      <c r="AD25" s="2651"/>
      <c r="AE25" s="2651"/>
      <c r="AF25" s="2651"/>
      <c r="AG25" s="2652"/>
      <c r="AH25" s="2650" cm="1">
        <f t="array" ref="AH25">SUMPRODUCT((Application!$B$728:$B$752 = 'CalHFA Addendum'!AH$18)*(Application!$AH$728:$AH$752 = 'CalHFA Addendum'!$B25),Application!$G$728:$G$752)</f>
        <v>0</v>
      </c>
      <c r="AI25" s="2651"/>
      <c r="AJ25" s="2651"/>
      <c r="AK25" s="2651"/>
      <c r="AL25" s="2651"/>
      <c r="AM25" s="2652"/>
      <c r="AN25" s="2650" cm="1">
        <f t="array" ref="AN25">SUMPRODUCT((Application!$B$728:$B$752 = 'CalHFA Addendum'!AN$18)*(Application!$AH$728:$AH$752 = 'CalHFA Addendum'!$B25),Application!$G$728:$G$752)</f>
        <v>0</v>
      </c>
      <c r="AO25" s="2651"/>
      <c r="AP25" s="2651"/>
      <c r="AQ25" s="2651"/>
      <c r="AR25" s="2651"/>
      <c r="AS25" s="2652"/>
      <c r="AT25" s="2653">
        <f t="shared" si="0"/>
        <v>0</v>
      </c>
      <c r="AU25" s="2654"/>
      <c r="AV25" s="2654"/>
      <c r="AW25" s="2654"/>
      <c r="AX25" s="2654"/>
      <c r="AY25" s="2655"/>
      <c r="AZ25" s="1528"/>
      <c r="BA25" s="1528"/>
      <c r="BB25" s="1528"/>
      <c r="BC25" s="1528"/>
      <c r="BD25" s="1528"/>
      <c r="BE25" s="1534"/>
    </row>
    <row r="26" spans="1:58" ht="15">
      <c r="A26" s="1817"/>
      <c r="B26" s="2656">
        <v>0.9</v>
      </c>
      <c r="C26" s="2657"/>
      <c r="D26" s="2657"/>
      <c r="E26" s="2657"/>
      <c r="F26" s="2657"/>
      <c r="G26" s="2657"/>
      <c r="H26" s="2657"/>
      <c r="I26" s="2657"/>
      <c r="J26" s="2646">
        <f t="shared" si="1"/>
        <v>0</v>
      </c>
      <c r="K26" s="2647"/>
      <c r="L26" s="2647"/>
      <c r="M26" s="2647"/>
      <c r="N26" s="2647"/>
      <c r="O26" s="2648"/>
      <c r="P26" s="2650" cm="1">
        <f t="array" ref="P26">SUMPRODUCT((Application!$B$728:$B$752 = 'CalHFA Addendum'!P$18)*(Application!$AH$728:$AH$752 = 'CalHFA Addendum'!$B26),Application!$G$728:$G$752)</f>
        <v>0</v>
      </c>
      <c r="Q26" s="2651"/>
      <c r="R26" s="2651"/>
      <c r="S26" s="2651"/>
      <c r="T26" s="2651"/>
      <c r="U26" s="2652"/>
      <c r="V26" s="2650" cm="1">
        <f t="array" ref="V26">SUMPRODUCT((Application!$B$728:$B$752 = 'CalHFA Addendum'!V$18)*(Application!$AH$728:$AH$752 = 'CalHFA Addendum'!$B26),Application!$G$728:$G$752)</f>
        <v>0</v>
      </c>
      <c r="W26" s="2651"/>
      <c r="X26" s="2651"/>
      <c r="Y26" s="2651"/>
      <c r="Z26" s="2651"/>
      <c r="AA26" s="2652"/>
      <c r="AB26" s="2650" cm="1">
        <f t="array" ref="AB26">SUMPRODUCT((Application!$B$728:$B$752 = 'CalHFA Addendum'!AB$18)*(Application!$AH$728:$AH$752 = 'CalHFA Addendum'!$B26),Application!$G$728:$G$752)</f>
        <v>0</v>
      </c>
      <c r="AC26" s="2651"/>
      <c r="AD26" s="2651"/>
      <c r="AE26" s="2651"/>
      <c r="AF26" s="2651"/>
      <c r="AG26" s="2652"/>
      <c r="AH26" s="2650" cm="1">
        <f t="array" ref="AH26">SUMPRODUCT((Application!$B$728:$B$752 = 'CalHFA Addendum'!AH$18)*(Application!$AH$728:$AH$752 = 'CalHFA Addendum'!$B26),Application!$G$728:$G$752)</f>
        <v>0</v>
      </c>
      <c r="AI26" s="2651"/>
      <c r="AJ26" s="2651"/>
      <c r="AK26" s="2651"/>
      <c r="AL26" s="2651"/>
      <c r="AM26" s="2652"/>
      <c r="AN26" s="2650" cm="1">
        <f t="array" ref="AN26">SUMPRODUCT((Application!$B$728:$B$752 = 'CalHFA Addendum'!AN$18)*(Application!$AH$728:$AH$752 = 'CalHFA Addendum'!$B26),Application!$G$728:$G$752)</f>
        <v>0</v>
      </c>
      <c r="AO26" s="2651"/>
      <c r="AP26" s="2651"/>
      <c r="AQ26" s="2651"/>
      <c r="AR26" s="2651"/>
      <c r="AS26" s="2652"/>
      <c r="AT26" s="2653">
        <f t="shared" si="0"/>
        <v>0</v>
      </c>
      <c r="AU26" s="2654"/>
      <c r="AV26" s="2654"/>
      <c r="AW26" s="2654"/>
      <c r="AX26" s="2654"/>
      <c r="AY26" s="2655"/>
      <c r="AZ26" s="1528"/>
      <c r="BA26" s="1528"/>
      <c r="BB26" s="1528"/>
      <c r="BC26" s="1528"/>
      <c r="BD26" s="1528"/>
      <c r="BE26" s="1534"/>
    </row>
    <row r="27" spans="1:58" ht="15">
      <c r="A27" s="1817"/>
      <c r="B27" s="2656">
        <v>1</v>
      </c>
      <c r="C27" s="2657"/>
      <c r="D27" s="2657"/>
      <c r="E27" s="2657"/>
      <c r="F27" s="2657"/>
      <c r="G27" s="2657"/>
      <c r="H27" s="2657"/>
      <c r="I27" s="2657"/>
      <c r="J27" s="2646">
        <f t="shared" si="1"/>
        <v>0</v>
      </c>
      <c r="K27" s="2647"/>
      <c r="L27" s="2647"/>
      <c r="M27" s="2647"/>
      <c r="N27" s="2647"/>
      <c r="O27" s="2648"/>
      <c r="P27" s="2650" cm="1">
        <f t="array" ref="P27">SUMPRODUCT((Application!$B$728:$B$752 = 'CalHFA Addendum'!P$18)*(Application!$AH$728:$AH$752 = 'CalHFA Addendum'!$B27),Application!$G$728:$G$752)</f>
        <v>0</v>
      </c>
      <c r="Q27" s="2651"/>
      <c r="R27" s="2651"/>
      <c r="S27" s="2651"/>
      <c r="T27" s="2651"/>
      <c r="U27" s="2652"/>
      <c r="V27" s="2650" cm="1">
        <f t="array" ref="V27">SUMPRODUCT((Application!$B$728:$B$752 = 'CalHFA Addendum'!V$18)*(Application!$AH$728:$AH$752 = 'CalHFA Addendum'!$B27),Application!$G$728:$G$752)</f>
        <v>0</v>
      </c>
      <c r="W27" s="2651"/>
      <c r="X27" s="2651"/>
      <c r="Y27" s="2651"/>
      <c r="Z27" s="2651"/>
      <c r="AA27" s="2652"/>
      <c r="AB27" s="2650" cm="1">
        <f t="array" ref="AB27">SUMPRODUCT((Application!$B$728:$B$752 = 'CalHFA Addendum'!AB$18)*(Application!$AH$728:$AH$752 = 'CalHFA Addendum'!$B27),Application!$G$728:$G$752)</f>
        <v>0</v>
      </c>
      <c r="AC27" s="2651"/>
      <c r="AD27" s="2651"/>
      <c r="AE27" s="2651"/>
      <c r="AF27" s="2651"/>
      <c r="AG27" s="2652"/>
      <c r="AH27" s="2650" cm="1">
        <f t="array" ref="AH27">SUMPRODUCT((Application!$B$728:$B$752 = 'CalHFA Addendum'!AH$18)*(Application!$AH$728:$AH$752 = 'CalHFA Addendum'!$B27),Application!$G$728:$G$752)</f>
        <v>0</v>
      </c>
      <c r="AI27" s="2651"/>
      <c r="AJ27" s="2651"/>
      <c r="AK27" s="2651"/>
      <c r="AL27" s="2651"/>
      <c r="AM27" s="2652"/>
      <c r="AN27" s="2650" cm="1">
        <f t="array" ref="AN27">SUMPRODUCT((Application!$B$728:$B$752 = 'CalHFA Addendum'!AN$18)*(Application!$AH$728:$AH$752 = 'CalHFA Addendum'!$B27),Application!$G$728:$G$752)</f>
        <v>0</v>
      </c>
      <c r="AO27" s="2651"/>
      <c r="AP27" s="2651"/>
      <c r="AQ27" s="2651"/>
      <c r="AR27" s="2651"/>
      <c r="AS27" s="2652"/>
      <c r="AT27" s="2653">
        <f t="shared" si="0"/>
        <v>0</v>
      </c>
      <c r="AU27" s="2654"/>
      <c r="AV27" s="2654"/>
      <c r="AW27" s="2654"/>
      <c r="AX27" s="2654"/>
      <c r="AY27" s="2655"/>
      <c r="AZ27" s="1528"/>
      <c r="BA27" s="1528"/>
      <c r="BB27" s="1528"/>
      <c r="BC27" s="1528"/>
      <c r="BD27" s="1528"/>
      <c r="BE27" s="1534"/>
      <c r="BF27" s="1699"/>
    </row>
    <row r="28" spans="1:58" thickBot="1">
      <c r="A28" s="1817"/>
      <c r="B28" s="2668" t="s">
        <v>2048</v>
      </c>
      <c r="C28" s="2669"/>
      <c r="D28" s="2669"/>
      <c r="E28" s="2669"/>
      <c r="F28" s="2669"/>
      <c r="G28" s="2669"/>
      <c r="H28" s="2669"/>
      <c r="I28" s="2670"/>
      <c r="J28" s="2646">
        <f t="shared" ref="J28" si="2">SUM(P28:AS28)</f>
        <v>1</v>
      </c>
      <c r="K28" s="2647"/>
      <c r="L28" s="2647"/>
      <c r="M28" s="2647"/>
      <c r="N28" s="2647"/>
      <c r="O28" s="2648"/>
      <c r="P28" s="2658">
        <f>_xlfn.IFNA(VLOOKUP(P$18,Application!$J$772:$S$775,6,FALSE), 0)</f>
        <v>0</v>
      </c>
      <c r="Q28" s="2659"/>
      <c r="R28" s="2659"/>
      <c r="S28" s="2659"/>
      <c r="T28" s="2659"/>
      <c r="U28" s="2660"/>
      <c r="V28" s="2658">
        <f>_xlfn.IFNA(VLOOKUP(V$18,Application!$J$772:$S$775,6,FALSE), 0)</f>
        <v>0</v>
      </c>
      <c r="W28" s="2659"/>
      <c r="X28" s="2659"/>
      <c r="Y28" s="2659"/>
      <c r="Z28" s="2659"/>
      <c r="AA28" s="2660"/>
      <c r="AB28" s="2658">
        <f>_xlfn.IFNA(VLOOKUP(AB$18,Application!$J$772:$S$775,6,FALSE), 0)</f>
        <v>1</v>
      </c>
      <c r="AC28" s="2659"/>
      <c r="AD28" s="2659"/>
      <c r="AE28" s="2659"/>
      <c r="AF28" s="2659"/>
      <c r="AG28" s="2660"/>
      <c r="AH28" s="2658">
        <f>_xlfn.IFNA(VLOOKUP(AH$18,Application!$J$772:$S$775,6,FALSE), 0)</f>
        <v>0</v>
      </c>
      <c r="AI28" s="2659"/>
      <c r="AJ28" s="2659"/>
      <c r="AK28" s="2659"/>
      <c r="AL28" s="2659"/>
      <c r="AM28" s="2660"/>
      <c r="AN28" s="2658">
        <f>_xlfn.IFNA(VLOOKUP(AN$18,Application!$J$772:$S$775,6,FALSE), 0)</f>
        <v>0</v>
      </c>
      <c r="AO28" s="2659"/>
      <c r="AP28" s="2659"/>
      <c r="AQ28" s="2659"/>
      <c r="AR28" s="2659"/>
      <c r="AS28" s="2660"/>
      <c r="AT28" s="2653">
        <f t="shared" ref="AT28" si="3">J28/$J$29</f>
        <v>1.5384615384615385E-2</v>
      </c>
      <c r="AU28" s="2654"/>
      <c r="AV28" s="2654"/>
      <c r="AW28" s="2654"/>
      <c r="AX28" s="2654"/>
      <c r="AY28" s="2655"/>
      <c r="AZ28" s="1528"/>
      <c r="BA28" s="1528"/>
      <c r="BB28" s="1528"/>
      <c r="BC28" s="1528"/>
      <c r="BD28" s="1528"/>
      <c r="BE28" s="1534"/>
    </row>
    <row r="29" spans="1:58" thickBot="1">
      <c r="A29" s="1817"/>
      <c r="B29" s="2661" t="s">
        <v>1878</v>
      </c>
      <c r="C29" s="2662"/>
      <c r="D29" s="2662"/>
      <c r="E29" s="2662"/>
      <c r="F29" s="2662"/>
      <c r="G29" s="2662"/>
      <c r="H29" s="2662"/>
      <c r="I29" s="2663"/>
      <c r="J29" s="2664">
        <f>SUM(J19:O28)</f>
        <v>65</v>
      </c>
      <c r="K29" s="2662"/>
      <c r="L29" s="2662"/>
      <c r="M29" s="2662"/>
      <c r="N29" s="2662"/>
      <c r="O29" s="2663"/>
      <c r="P29" s="2664">
        <f>SUM(P19:U28)</f>
        <v>0</v>
      </c>
      <c r="Q29" s="2662"/>
      <c r="R29" s="2662"/>
      <c r="S29" s="2662"/>
      <c r="T29" s="2662"/>
      <c r="U29" s="2663"/>
      <c r="V29" s="2664">
        <f>SUM(V19:AA28)</f>
        <v>15</v>
      </c>
      <c r="W29" s="2662"/>
      <c r="X29" s="2662"/>
      <c r="Y29" s="2662"/>
      <c r="Z29" s="2662"/>
      <c r="AA29" s="2663"/>
      <c r="AB29" s="2664">
        <f>SUM(AB19:AG28)</f>
        <v>20</v>
      </c>
      <c r="AC29" s="2662"/>
      <c r="AD29" s="2662"/>
      <c r="AE29" s="2662"/>
      <c r="AF29" s="2662"/>
      <c r="AG29" s="2663"/>
      <c r="AH29" s="2664">
        <f>SUM(AH19:AM28)</f>
        <v>30</v>
      </c>
      <c r="AI29" s="2662"/>
      <c r="AJ29" s="2662"/>
      <c r="AK29" s="2662"/>
      <c r="AL29" s="2662"/>
      <c r="AM29" s="2663"/>
      <c r="AN29" s="2664">
        <f>SUM(AN19:AS28)</f>
        <v>0</v>
      </c>
      <c r="AO29" s="2662"/>
      <c r="AP29" s="2662"/>
      <c r="AQ29" s="2662"/>
      <c r="AR29" s="2662"/>
      <c r="AS29" s="2663"/>
      <c r="AT29" s="2665">
        <f>J29/$J$29</f>
        <v>1</v>
      </c>
      <c r="AU29" s="2666"/>
      <c r="AV29" s="2666"/>
      <c r="AW29" s="2666"/>
      <c r="AX29" s="2666"/>
      <c r="AY29" s="2667"/>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671" t="s">
        <v>2049</v>
      </c>
      <c r="C31" s="2672"/>
      <c r="D31" s="2672"/>
      <c r="E31" s="2672"/>
      <c r="F31" s="2672"/>
      <c r="G31" s="2672"/>
      <c r="H31" s="2672"/>
      <c r="I31" s="2672"/>
      <c r="J31" s="2672"/>
      <c r="K31" s="2672"/>
      <c r="L31" s="2672"/>
      <c r="M31" s="2672"/>
      <c r="N31" s="2672"/>
      <c r="O31" s="2672"/>
      <c r="P31" s="2672"/>
      <c r="Q31" s="2672"/>
      <c r="R31" s="2672"/>
      <c r="S31" s="2672"/>
      <c r="T31" s="2672"/>
      <c r="U31" s="2672"/>
      <c r="V31" s="2672"/>
      <c r="W31" s="2672"/>
      <c r="X31" s="2672"/>
      <c r="Y31" s="2672"/>
      <c r="Z31" s="2672"/>
      <c r="AA31" s="2672"/>
      <c r="AB31" s="2672"/>
      <c r="AC31" s="2672"/>
      <c r="AD31" s="2672"/>
      <c r="AE31" s="2672"/>
      <c r="AF31" s="2672"/>
      <c r="AG31" s="2672"/>
      <c r="AH31" s="2672"/>
      <c r="AI31" s="2672"/>
      <c r="AJ31" s="2672"/>
      <c r="AK31" s="2672"/>
      <c r="AL31" s="2672"/>
      <c r="AM31" s="2672"/>
      <c r="AN31" s="2672"/>
      <c r="AO31" s="2672"/>
      <c r="AP31" s="2672"/>
      <c r="AQ31" s="2672"/>
      <c r="AR31" s="2672"/>
      <c r="AS31" s="2672"/>
      <c r="AT31" s="2672"/>
      <c r="AU31" s="2672"/>
      <c r="AV31" s="2672"/>
      <c r="AW31" s="2672"/>
      <c r="AX31" s="2672"/>
      <c r="AY31" s="2672"/>
      <c r="AZ31" s="2673"/>
      <c r="BA31" s="1528"/>
      <c r="BB31" s="1528"/>
      <c r="BC31" s="1528"/>
      <c r="BD31" s="1528"/>
      <c r="BE31" s="1534"/>
    </row>
    <row r="32" spans="1:58" thickBot="1">
      <c r="A32" s="1817"/>
      <c r="B32" s="2674" t="s">
        <v>2050</v>
      </c>
      <c r="C32" s="2675"/>
      <c r="D32" s="2675"/>
      <c r="E32" s="2675"/>
      <c r="F32" s="2675"/>
      <c r="G32" s="2675"/>
      <c r="H32" s="2675"/>
      <c r="I32" s="2676"/>
      <c r="J32" s="2678" t="s">
        <v>2051</v>
      </c>
      <c r="K32" s="2679"/>
      <c r="L32" s="2679"/>
      <c r="M32" s="2680"/>
      <c r="N32" s="2678" t="s">
        <v>2052</v>
      </c>
      <c r="O32" s="2679"/>
      <c r="P32" s="2679"/>
      <c r="Q32" s="2679"/>
      <c r="R32" s="2682" t="s">
        <v>2053</v>
      </c>
      <c r="S32" s="2683"/>
      <c r="T32" s="2683"/>
      <c r="U32" s="2683"/>
      <c r="V32" s="2683"/>
      <c r="W32" s="2683"/>
      <c r="X32" s="2683"/>
      <c r="Y32" s="2683"/>
      <c r="Z32" s="2683"/>
      <c r="AA32" s="2683"/>
      <c r="AB32" s="2683"/>
      <c r="AC32" s="2683"/>
      <c r="AD32" s="2683"/>
      <c r="AE32" s="2683"/>
      <c r="AF32" s="2683"/>
      <c r="AG32" s="2683"/>
      <c r="AH32" s="2683"/>
      <c r="AI32" s="2683"/>
      <c r="AJ32" s="2683"/>
      <c r="AK32" s="2683"/>
      <c r="AL32" s="2683"/>
      <c r="AM32" s="2683"/>
      <c r="AN32" s="2683"/>
      <c r="AO32" s="2683"/>
      <c r="AP32" s="2683"/>
      <c r="AQ32" s="2683"/>
      <c r="AR32" s="2683"/>
      <c r="AS32" s="2683"/>
      <c r="AT32" s="2683"/>
      <c r="AU32" s="2683"/>
      <c r="AV32" s="2683"/>
      <c r="AW32" s="2683"/>
      <c r="AX32" s="2683"/>
      <c r="AY32" s="2683"/>
      <c r="AZ32" s="2684"/>
      <c r="BA32" s="1528"/>
      <c r="BB32" s="1528"/>
      <c r="BC32" s="1528"/>
      <c r="BD32" s="1528"/>
      <c r="BE32" s="1534"/>
    </row>
    <row r="33" spans="1:58" ht="15" customHeight="1">
      <c r="A33" s="1817"/>
      <c r="B33" s="2677"/>
      <c r="C33" s="2675"/>
      <c r="D33" s="2675"/>
      <c r="E33" s="2675"/>
      <c r="F33" s="2675"/>
      <c r="G33" s="2675"/>
      <c r="H33" s="2675"/>
      <c r="I33" s="2676"/>
      <c r="J33" s="2681"/>
      <c r="K33" s="2679"/>
      <c r="L33" s="2679"/>
      <c r="M33" s="2680"/>
      <c r="N33" s="2681"/>
      <c r="O33" s="2679"/>
      <c r="P33" s="2679"/>
      <c r="Q33" s="2679"/>
      <c r="R33" s="2685" t="s">
        <v>2054</v>
      </c>
      <c r="S33" s="2686"/>
      <c r="T33" s="2686"/>
      <c r="U33" s="2686"/>
      <c r="V33" s="2686"/>
      <c r="W33" s="2686"/>
      <c r="X33" s="2686"/>
      <c r="Y33" s="2686"/>
      <c r="Z33" s="2686"/>
      <c r="AA33" s="2686"/>
      <c r="AB33" s="2686"/>
      <c r="AC33" s="2686"/>
      <c r="AD33" s="2686"/>
      <c r="AE33" s="2686"/>
      <c r="AF33" s="2686"/>
      <c r="AG33" s="2686"/>
      <c r="AH33" s="2686"/>
      <c r="AI33" s="2686"/>
      <c r="AJ33" s="2686"/>
      <c r="AK33" s="2686"/>
      <c r="AL33" s="2686"/>
      <c r="AM33" s="2686"/>
      <c r="AN33" s="2686"/>
      <c r="AO33" s="2686"/>
      <c r="AP33" s="2686"/>
      <c r="AQ33" s="2686"/>
      <c r="AR33" s="2686"/>
      <c r="AS33" s="2686"/>
      <c r="AT33" s="2686"/>
      <c r="AU33" s="2686"/>
      <c r="AV33" s="2686"/>
      <c r="AW33" s="2686"/>
      <c r="AX33" s="2686"/>
      <c r="AY33" s="2686"/>
      <c r="AZ33" s="2687"/>
      <c r="BA33" s="1535"/>
      <c r="BB33" s="1528"/>
      <c r="BC33" s="1528"/>
      <c r="BD33" s="1528"/>
      <c r="BE33" s="1534"/>
    </row>
    <row r="34" spans="1:58" ht="15.75" customHeight="1" thickBot="1">
      <c r="A34" s="1817"/>
      <c r="B34" s="2677"/>
      <c r="C34" s="2675"/>
      <c r="D34" s="2675"/>
      <c r="E34" s="2675"/>
      <c r="F34" s="2675"/>
      <c r="G34" s="2675"/>
      <c r="H34" s="2675"/>
      <c r="I34" s="2676"/>
      <c r="J34" s="2681"/>
      <c r="K34" s="2679"/>
      <c r="L34" s="2679"/>
      <c r="M34" s="2680"/>
      <c r="N34" s="2681"/>
      <c r="O34" s="2679"/>
      <c r="P34" s="2679"/>
      <c r="Q34" s="2679"/>
      <c r="R34" s="2688"/>
      <c r="S34" s="2689"/>
      <c r="T34" s="2689"/>
      <c r="U34" s="2689"/>
      <c r="V34" s="2689"/>
      <c r="W34" s="2689"/>
      <c r="X34" s="2689"/>
      <c r="Y34" s="2689"/>
      <c r="Z34" s="2689"/>
      <c r="AA34" s="2689"/>
      <c r="AB34" s="2689"/>
      <c r="AC34" s="2689"/>
      <c r="AD34" s="2689"/>
      <c r="AE34" s="2689"/>
      <c r="AF34" s="2689"/>
      <c r="AG34" s="2689"/>
      <c r="AH34" s="2689"/>
      <c r="AI34" s="2689"/>
      <c r="AJ34" s="2689"/>
      <c r="AK34" s="2689"/>
      <c r="AL34" s="2689"/>
      <c r="AM34" s="2689"/>
      <c r="AN34" s="2689"/>
      <c r="AO34" s="2689"/>
      <c r="AP34" s="2689"/>
      <c r="AQ34" s="2689"/>
      <c r="AR34" s="2689"/>
      <c r="AS34" s="2689"/>
      <c r="AT34" s="2689"/>
      <c r="AU34" s="2689"/>
      <c r="AV34" s="2689"/>
      <c r="AW34" s="2689"/>
      <c r="AX34" s="2689"/>
      <c r="AY34" s="2689"/>
      <c r="AZ34" s="2690"/>
      <c r="BA34" s="1535"/>
      <c r="BB34" s="1528"/>
      <c r="BC34" s="1528"/>
      <c r="BD34" s="1528"/>
      <c r="BE34" s="1534"/>
    </row>
    <row r="35" spans="1:58" ht="15.75" customHeight="1" thickBot="1">
      <c r="A35" s="1817"/>
      <c r="B35" s="2677"/>
      <c r="C35" s="2675"/>
      <c r="D35" s="2675"/>
      <c r="E35" s="2675"/>
      <c r="F35" s="2675"/>
      <c r="G35" s="2675"/>
      <c r="H35" s="2675"/>
      <c r="I35" s="2676"/>
      <c r="J35" s="2681"/>
      <c r="K35" s="2679"/>
      <c r="L35" s="2679"/>
      <c r="M35" s="2680"/>
      <c r="N35" s="2681"/>
      <c r="O35" s="2679"/>
      <c r="P35" s="2679"/>
      <c r="Q35" s="2679"/>
      <c r="R35" s="2691">
        <v>0.5</v>
      </c>
      <c r="S35" s="2692"/>
      <c r="T35" s="2692"/>
      <c r="U35" s="2693"/>
      <c r="V35" s="2691">
        <v>0.6</v>
      </c>
      <c r="W35" s="2692"/>
      <c r="X35" s="2692"/>
      <c r="Y35" s="2693"/>
      <c r="Z35" s="2691">
        <v>0.7</v>
      </c>
      <c r="AA35" s="2692"/>
      <c r="AB35" s="2692"/>
      <c r="AC35" s="2693"/>
      <c r="AD35" s="2691">
        <v>0.8</v>
      </c>
      <c r="AE35" s="2692"/>
      <c r="AF35" s="2692"/>
      <c r="AG35" s="2693"/>
      <c r="AH35" s="2691">
        <v>1</v>
      </c>
      <c r="AI35" s="2692"/>
      <c r="AJ35" s="2692"/>
      <c r="AK35" s="2693"/>
      <c r="AL35" s="2691">
        <v>1.2</v>
      </c>
      <c r="AM35" s="2692"/>
      <c r="AN35" s="2693"/>
      <c r="AO35" s="2703" t="s">
        <v>2055</v>
      </c>
      <c r="AP35" s="2704"/>
      <c r="AQ35" s="2704"/>
      <c r="AR35" s="2704"/>
      <c r="AS35" s="2704"/>
      <c r="AT35" s="2705"/>
      <c r="AU35" s="2703" t="s">
        <v>2056</v>
      </c>
      <c r="AV35" s="2704"/>
      <c r="AW35" s="2704"/>
      <c r="AX35" s="2704"/>
      <c r="AY35" s="2704"/>
      <c r="AZ35" s="2705"/>
      <c r="BA35" s="1535"/>
      <c r="BB35" s="1528"/>
      <c r="BC35" s="1528"/>
      <c r="BD35" s="1528"/>
      <c r="BE35" s="1534"/>
      <c r="BF35" s="1526"/>
    </row>
    <row r="36" spans="1:58" ht="15.75" customHeight="1">
      <c r="A36" s="1817"/>
      <c r="B36" s="2706" t="s">
        <v>2057</v>
      </c>
      <c r="C36" s="2707"/>
      <c r="D36" s="2707"/>
      <c r="E36" s="2707"/>
      <c r="F36" s="2707"/>
      <c r="G36" s="2707"/>
      <c r="H36" s="2707"/>
      <c r="I36" s="2708"/>
      <c r="J36" s="2709" t="s">
        <v>2058</v>
      </c>
      <c r="K36" s="2710"/>
      <c r="L36" s="2710"/>
      <c r="M36" s="2711"/>
      <c r="N36" s="2712">
        <v>55</v>
      </c>
      <c r="O36" s="2713"/>
      <c r="P36" s="2713"/>
      <c r="Q36" s="2714"/>
      <c r="R36" s="2715">
        <v>10</v>
      </c>
      <c r="S36" s="2715"/>
      <c r="T36" s="2715"/>
      <c r="U36" s="2715"/>
      <c r="V36" s="2715">
        <v>30</v>
      </c>
      <c r="W36" s="2715"/>
      <c r="X36" s="2715"/>
      <c r="Y36" s="2715"/>
      <c r="Z36" s="2715"/>
      <c r="AA36" s="2715"/>
      <c r="AB36" s="2715"/>
      <c r="AC36" s="2715"/>
      <c r="AD36" s="2715">
        <v>59</v>
      </c>
      <c r="AE36" s="2715"/>
      <c r="AF36" s="2715"/>
      <c r="AG36" s="2715"/>
      <c r="AH36" s="2718"/>
      <c r="AI36" s="2718"/>
      <c r="AJ36" s="2718"/>
      <c r="AK36" s="2718"/>
      <c r="AL36" s="2718"/>
      <c r="AM36" s="2718"/>
      <c r="AN36" s="2718"/>
      <c r="AO36" s="2716">
        <f>SUM(R36:AN36)</f>
        <v>99</v>
      </c>
      <c r="AP36" s="2716"/>
      <c r="AQ36" s="2716"/>
      <c r="AR36" s="2716"/>
      <c r="AS36" s="2716"/>
      <c r="AT36" s="2716"/>
      <c r="AU36" s="2717">
        <f>AO36/$J$29</f>
        <v>1.523076923076923</v>
      </c>
      <c r="AV36" s="2717"/>
      <c r="AW36" s="2717"/>
      <c r="AX36" s="2717"/>
      <c r="AY36" s="2717"/>
      <c r="AZ36" s="2717"/>
      <c r="BA36" s="1528"/>
      <c r="BB36" s="1528"/>
      <c r="BC36" s="1528"/>
      <c r="BD36" s="1528"/>
      <c r="BE36" s="1534"/>
      <c r="BF36" s="1526"/>
    </row>
    <row r="37" spans="1:58" ht="15.75" customHeight="1">
      <c r="A37" s="1817"/>
      <c r="B37" s="2694" t="s">
        <v>2059</v>
      </c>
      <c r="C37" s="2695"/>
      <c r="D37" s="2695"/>
      <c r="E37" s="2695"/>
      <c r="F37" s="2695"/>
      <c r="G37" s="2695"/>
      <c r="H37" s="2695"/>
      <c r="I37" s="2696"/>
      <c r="J37" s="2697" t="s">
        <v>2060</v>
      </c>
      <c r="K37" s="2698"/>
      <c r="L37" s="2698"/>
      <c r="M37" s="2699"/>
      <c r="N37" s="2700">
        <v>55</v>
      </c>
      <c r="O37" s="2698"/>
      <c r="P37" s="2698"/>
      <c r="Q37" s="2701"/>
      <c r="R37" s="2702"/>
      <c r="S37" s="2702"/>
      <c r="T37" s="2702"/>
      <c r="U37" s="2702"/>
      <c r="V37" s="2702"/>
      <c r="W37" s="2702"/>
      <c r="X37" s="2702"/>
      <c r="Y37" s="2702"/>
      <c r="Z37" s="2702"/>
      <c r="AA37" s="2702"/>
      <c r="AB37" s="2702"/>
      <c r="AC37" s="2702"/>
      <c r="AD37" s="2702"/>
      <c r="AE37" s="2702"/>
      <c r="AF37" s="2702"/>
      <c r="AG37" s="2702"/>
      <c r="AH37" s="2702"/>
      <c r="AI37" s="2702"/>
      <c r="AJ37" s="2702"/>
      <c r="AK37" s="2702"/>
      <c r="AL37" s="2702"/>
      <c r="AM37" s="2702"/>
      <c r="AN37" s="2702"/>
      <c r="AO37" s="2716">
        <f t="shared" ref="AO37:AO47" si="4">SUM(R37:AN37)</f>
        <v>0</v>
      </c>
      <c r="AP37" s="2716"/>
      <c r="AQ37" s="2716"/>
      <c r="AR37" s="2716"/>
      <c r="AS37" s="2716"/>
      <c r="AT37" s="2716"/>
      <c r="AU37" s="2717">
        <f t="shared" ref="AU37:AU47" si="5">AO37/$J$29</f>
        <v>0</v>
      </c>
      <c r="AV37" s="2717"/>
      <c r="AW37" s="2717"/>
      <c r="AX37" s="2717"/>
      <c r="AY37" s="2717"/>
      <c r="AZ37" s="2717"/>
      <c r="BA37" s="1528"/>
      <c r="BB37" s="1528"/>
      <c r="BC37" s="1528"/>
      <c r="BD37" s="1528"/>
      <c r="BE37" s="1534"/>
      <c r="BF37" s="1526"/>
    </row>
    <row r="38" spans="1:58" ht="15.75" customHeight="1">
      <c r="A38" s="1817"/>
      <c r="B38" s="2694" t="s">
        <v>2061</v>
      </c>
      <c r="C38" s="2695"/>
      <c r="D38" s="2695"/>
      <c r="E38" s="2695"/>
      <c r="F38" s="2695"/>
      <c r="G38" s="2695"/>
      <c r="H38" s="2695"/>
      <c r="I38" s="2696"/>
      <c r="J38" s="2697" t="s">
        <v>2062</v>
      </c>
      <c r="K38" s="2698"/>
      <c r="L38" s="2698"/>
      <c r="M38" s="2699"/>
      <c r="N38" s="2700">
        <v>55</v>
      </c>
      <c r="O38" s="2698"/>
      <c r="P38" s="2698"/>
      <c r="Q38" s="2701"/>
      <c r="R38" s="2702"/>
      <c r="S38" s="2702"/>
      <c r="T38" s="2702"/>
      <c r="U38" s="2702"/>
      <c r="V38" s="2702"/>
      <c r="W38" s="2702"/>
      <c r="X38" s="2702"/>
      <c r="Y38" s="2702"/>
      <c r="Z38" s="2702"/>
      <c r="AA38" s="2702"/>
      <c r="AB38" s="2702"/>
      <c r="AC38" s="2702"/>
      <c r="AD38" s="2702"/>
      <c r="AE38" s="2702"/>
      <c r="AF38" s="2702"/>
      <c r="AG38" s="2702"/>
      <c r="AH38" s="2702"/>
      <c r="AI38" s="2702"/>
      <c r="AJ38" s="2702"/>
      <c r="AK38" s="2702"/>
      <c r="AL38" s="2702"/>
      <c r="AM38" s="2702"/>
      <c r="AN38" s="2702"/>
      <c r="AO38" s="2716">
        <f t="shared" si="4"/>
        <v>0</v>
      </c>
      <c r="AP38" s="2716"/>
      <c r="AQ38" s="2716"/>
      <c r="AR38" s="2716"/>
      <c r="AS38" s="2716"/>
      <c r="AT38" s="2716"/>
      <c r="AU38" s="2717">
        <f t="shared" si="5"/>
        <v>0</v>
      </c>
      <c r="AV38" s="2717"/>
      <c r="AW38" s="2717"/>
      <c r="AX38" s="2717"/>
      <c r="AY38" s="2717"/>
      <c r="AZ38" s="2717"/>
      <c r="BA38" s="1528"/>
      <c r="BB38" s="1528"/>
      <c r="BC38" s="1528"/>
      <c r="BD38" s="1528"/>
      <c r="BE38" s="1534"/>
      <c r="BF38" s="1526"/>
    </row>
    <row r="39" spans="1:58" ht="15.75" customHeight="1">
      <c r="A39" s="1817"/>
      <c r="B39" s="2694" t="s">
        <v>2063</v>
      </c>
      <c r="C39" s="2695"/>
      <c r="D39" s="2695"/>
      <c r="E39" s="2695"/>
      <c r="F39" s="2695"/>
      <c r="G39" s="2695"/>
      <c r="H39" s="2695"/>
      <c r="I39" s="2696"/>
      <c r="J39" s="2719"/>
      <c r="K39" s="2720"/>
      <c r="L39" s="2720"/>
      <c r="M39" s="2721"/>
      <c r="N39" s="2722"/>
      <c r="O39" s="2720"/>
      <c r="P39" s="2720"/>
      <c r="Q39" s="2723"/>
      <c r="R39" s="2702"/>
      <c r="S39" s="2702"/>
      <c r="T39" s="2702"/>
      <c r="U39" s="2702"/>
      <c r="V39" s="2702"/>
      <c r="W39" s="2702"/>
      <c r="X39" s="2702"/>
      <c r="Y39" s="2702"/>
      <c r="Z39" s="2702"/>
      <c r="AA39" s="2702"/>
      <c r="AB39" s="2702"/>
      <c r="AC39" s="2702"/>
      <c r="AD39" s="2702"/>
      <c r="AE39" s="2702"/>
      <c r="AF39" s="2702"/>
      <c r="AG39" s="2702"/>
      <c r="AH39" s="2702"/>
      <c r="AI39" s="2702"/>
      <c r="AJ39" s="2702"/>
      <c r="AK39" s="2702"/>
      <c r="AL39" s="2702"/>
      <c r="AM39" s="2702"/>
      <c r="AN39" s="2702"/>
      <c r="AO39" s="2716">
        <f t="shared" si="4"/>
        <v>0</v>
      </c>
      <c r="AP39" s="2716"/>
      <c r="AQ39" s="2716"/>
      <c r="AR39" s="2716"/>
      <c r="AS39" s="2716"/>
      <c r="AT39" s="2716"/>
      <c r="AU39" s="2717">
        <f t="shared" si="5"/>
        <v>0</v>
      </c>
      <c r="AV39" s="2717"/>
      <c r="AW39" s="2717"/>
      <c r="AX39" s="2717"/>
      <c r="AY39" s="2717"/>
      <c r="AZ39" s="2717"/>
      <c r="BA39" s="1528"/>
      <c r="BB39" s="1528"/>
      <c r="BC39" s="1528"/>
      <c r="BD39" s="1528"/>
      <c r="BE39" s="1534"/>
    </row>
    <row r="40" spans="1:58" ht="15.75" customHeight="1">
      <c r="A40" s="1817"/>
      <c r="B40" s="2694" t="s">
        <v>2063</v>
      </c>
      <c r="C40" s="2695"/>
      <c r="D40" s="2695"/>
      <c r="E40" s="2695"/>
      <c r="F40" s="2695"/>
      <c r="G40" s="2695"/>
      <c r="H40" s="2695"/>
      <c r="I40" s="2696"/>
      <c r="J40" s="2719"/>
      <c r="K40" s="2720"/>
      <c r="L40" s="2720"/>
      <c r="M40" s="2721"/>
      <c r="N40" s="2722"/>
      <c r="O40" s="2720"/>
      <c r="P40" s="2720"/>
      <c r="Q40" s="2723"/>
      <c r="R40" s="2702"/>
      <c r="S40" s="2702"/>
      <c r="T40" s="2702"/>
      <c r="U40" s="2702"/>
      <c r="V40" s="2702"/>
      <c r="W40" s="2702"/>
      <c r="X40" s="2702"/>
      <c r="Y40" s="2702"/>
      <c r="Z40" s="2702"/>
      <c r="AA40" s="2702"/>
      <c r="AB40" s="2702"/>
      <c r="AC40" s="2702"/>
      <c r="AD40" s="2702"/>
      <c r="AE40" s="2702"/>
      <c r="AF40" s="2702"/>
      <c r="AG40" s="2702"/>
      <c r="AH40" s="2702"/>
      <c r="AI40" s="2702"/>
      <c r="AJ40" s="2702"/>
      <c r="AK40" s="2702"/>
      <c r="AL40" s="2702"/>
      <c r="AM40" s="2702"/>
      <c r="AN40" s="2702"/>
      <c r="AO40" s="2716">
        <f t="shared" si="4"/>
        <v>0</v>
      </c>
      <c r="AP40" s="2716"/>
      <c r="AQ40" s="2716"/>
      <c r="AR40" s="2716"/>
      <c r="AS40" s="2716"/>
      <c r="AT40" s="2716"/>
      <c r="AU40" s="2717">
        <f t="shared" si="5"/>
        <v>0</v>
      </c>
      <c r="AV40" s="2717"/>
      <c r="AW40" s="2717"/>
      <c r="AX40" s="2717"/>
      <c r="AY40" s="2717"/>
      <c r="AZ40" s="2717"/>
      <c r="BA40" s="1528"/>
      <c r="BB40" s="1528"/>
      <c r="BC40" s="1528"/>
      <c r="BD40" s="1528"/>
      <c r="BE40" s="1534"/>
    </row>
    <row r="41" spans="1:58" ht="15.75" customHeight="1">
      <c r="A41" s="1817"/>
      <c r="B41" s="2724" t="s">
        <v>2064</v>
      </c>
      <c r="C41" s="2725"/>
      <c r="D41" s="2725"/>
      <c r="E41" s="2725"/>
      <c r="F41" s="2725"/>
      <c r="G41" s="2725"/>
      <c r="H41" s="2725"/>
      <c r="I41" s="2726"/>
      <c r="J41" s="2719"/>
      <c r="K41" s="2720"/>
      <c r="L41" s="2720"/>
      <c r="M41" s="2721"/>
      <c r="N41" s="2722"/>
      <c r="O41" s="2720"/>
      <c r="P41" s="2720"/>
      <c r="Q41" s="2723"/>
      <c r="R41" s="2702"/>
      <c r="S41" s="2702"/>
      <c r="T41" s="2702"/>
      <c r="U41" s="2702"/>
      <c r="V41" s="2702"/>
      <c r="W41" s="2702"/>
      <c r="X41" s="2702"/>
      <c r="Y41" s="2702"/>
      <c r="Z41" s="2702"/>
      <c r="AA41" s="2702"/>
      <c r="AB41" s="2702"/>
      <c r="AC41" s="2702"/>
      <c r="AD41" s="2702"/>
      <c r="AE41" s="2702"/>
      <c r="AF41" s="2702"/>
      <c r="AG41" s="2702"/>
      <c r="AH41" s="2702"/>
      <c r="AI41" s="2702"/>
      <c r="AJ41" s="2702"/>
      <c r="AK41" s="2702"/>
      <c r="AL41" s="2702"/>
      <c r="AM41" s="2702"/>
      <c r="AN41" s="2702"/>
      <c r="AO41" s="2716">
        <f t="shared" si="4"/>
        <v>0</v>
      </c>
      <c r="AP41" s="2716"/>
      <c r="AQ41" s="2716"/>
      <c r="AR41" s="2716"/>
      <c r="AS41" s="2716"/>
      <c r="AT41" s="2716"/>
      <c r="AU41" s="2717">
        <f t="shared" si="5"/>
        <v>0</v>
      </c>
      <c r="AV41" s="2717"/>
      <c r="AW41" s="2717"/>
      <c r="AX41" s="2717"/>
      <c r="AY41" s="2717"/>
      <c r="AZ41" s="2717"/>
      <c r="BA41" s="1528"/>
      <c r="BB41" s="1528"/>
      <c r="BC41" s="1528"/>
      <c r="BD41" s="1528"/>
      <c r="BE41" s="1534"/>
    </row>
    <row r="42" spans="1:58" ht="15.75" customHeight="1">
      <c r="A42" s="1817"/>
      <c r="B42" s="2724" t="s">
        <v>2064</v>
      </c>
      <c r="C42" s="2725"/>
      <c r="D42" s="2725"/>
      <c r="E42" s="2725"/>
      <c r="F42" s="2725"/>
      <c r="G42" s="2725"/>
      <c r="H42" s="2725"/>
      <c r="I42" s="2726"/>
      <c r="J42" s="2719"/>
      <c r="K42" s="2720"/>
      <c r="L42" s="2720"/>
      <c r="M42" s="2721"/>
      <c r="N42" s="2722"/>
      <c r="O42" s="2720"/>
      <c r="P42" s="2720"/>
      <c r="Q42" s="2723"/>
      <c r="R42" s="2702"/>
      <c r="S42" s="2702"/>
      <c r="T42" s="2702"/>
      <c r="U42" s="2702"/>
      <c r="V42" s="2702"/>
      <c r="W42" s="2702"/>
      <c r="X42" s="2702"/>
      <c r="Y42" s="2702"/>
      <c r="Z42" s="2702"/>
      <c r="AA42" s="2702"/>
      <c r="AB42" s="2702"/>
      <c r="AC42" s="2702"/>
      <c r="AD42" s="2702"/>
      <c r="AE42" s="2702"/>
      <c r="AF42" s="2702"/>
      <c r="AG42" s="2702"/>
      <c r="AH42" s="2702"/>
      <c r="AI42" s="2702"/>
      <c r="AJ42" s="2702"/>
      <c r="AK42" s="2702"/>
      <c r="AL42" s="2702"/>
      <c r="AM42" s="2702"/>
      <c r="AN42" s="2702"/>
      <c r="AO42" s="2716">
        <f t="shared" si="4"/>
        <v>0</v>
      </c>
      <c r="AP42" s="2716"/>
      <c r="AQ42" s="2716"/>
      <c r="AR42" s="2716"/>
      <c r="AS42" s="2716"/>
      <c r="AT42" s="2716"/>
      <c r="AU42" s="2717">
        <f t="shared" si="5"/>
        <v>0</v>
      </c>
      <c r="AV42" s="2717"/>
      <c r="AW42" s="2717"/>
      <c r="AX42" s="2717"/>
      <c r="AY42" s="2717"/>
      <c r="AZ42" s="2717"/>
      <c r="BA42" s="1528"/>
      <c r="BB42" s="1528"/>
      <c r="BC42" s="1528"/>
      <c r="BD42" s="1528"/>
      <c r="BE42" s="1534"/>
    </row>
    <row r="43" spans="1:58" ht="15.75" customHeight="1">
      <c r="A43" s="1817"/>
      <c r="B43" s="2727" t="s">
        <v>2065</v>
      </c>
      <c r="C43" s="2728"/>
      <c r="D43" s="2728"/>
      <c r="E43" s="2728"/>
      <c r="F43" s="2728"/>
      <c r="G43" s="2728"/>
      <c r="H43" s="2728"/>
      <c r="I43" s="2729"/>
      <c r="J43" s="2719"/>
      <c r="K43" s="2720"/>
      <c r="L43" s="2720"/>
      <c r="M43" s="2721"/>
      <c r="N43" s="2722"/>
      <c r="O43" s="2720"/>
      <c r="P43" s="2720"/>
      <c r="Q43" s="2723"/>
      <c r="R43" s="2702"/>
      <c r="S43" s="2702"/>
      <c r="T43" s="2702"/>
      <c r="U43" s="2702"/>
      <c r="V43" s="2702"/>
      <c r="W43" s="2702"/>
      <c r="X43" s="2702"/>
      <c r="Y43" s="2702"/>
      <c r="Z43" s="2702"/>
      <c r="AA43" s="2702"/>
      <c r="AB43" s="2702"/>
      <c r="AC43" s="2702"/>
      <c r="AD43" s="2702"/>
      <c r="AE43" s="2702"/>
      <c r="AF43" s="2702"/>
      <c r="AG43" s="2702"/>
      <c r="AH43" s="2702"/>
      <c r="AI43" s="2702"/>
      <c r="AJ43" s="2702"/>
      <c r="AK43" s="2702"/>
      <c r="AL43" s="2702"/>
      <c r="AM43" s="2702"/>
      <c r="AN43" s="2702"/>
      <c r="AO43" s="2716">
        <f t="shared" si="4"/>
        <v>0</v>
      </c>
      <c r="AP43" s="2716"/>
      <c r="AQ43" s="2716"/>
      <c r="AR43" s="2716"/>
      <c r="AS43" s="2716"/>
      <c r="AT43" s="2716"/>
      <c r="AU43" s="2717">
        <f t="shared" si="5"/>
        <v>0</v>
      </c>
      <c r="AV43" s="2717"/>
      <c r="AW43" s="2717"/>
      <c r="AX43" s="2717"/>
      <c r="AY43" s="2717"/>
      <c r="AZ43" s="2717"/>
      <c r="BA43" s="1528"/>
      <c r="BB43" s="1528"/>
      <c r="BC43" s="1528"/>
      <c r="BD43" s="1528"/>
      <c r="BE43" s="1534"/>
    </row>
    <row r="44" spans="1:58" ht="15.75" customHeight="1">
      <c r="A44" s="1817"/>
      <c r="B44" s="2727" t="s">
        <v>2066</v>
      </c>
      <c r="C44" s="2728"/>
      <c r="D44" s="2728"/>
      <c r="E44" s="2728"/>
      <c r="F44" s="2728"/>
      <c r="G44" s="2728"/>
      <c r="H44" s="2728"/>
      <c r="I44" s="2729"/>
      <c r="J44" s="2719"/>
      <c r="K44" s="2720"/>
      <c r="L44" s="2720"/>
      <c r="M44" s="2721"/>
      <c r="N44" s="2722"/>
      <c r="O44" s="2720"/>
      <c r="P44" s="2720"/>
      <c r="Q44" s="2723"/>
      <c r="R44" s="2702"/>
      <c r="S44" s="2702"/>
      <c r="T44" s="2702"/>
      <c r="U44" s="2702"/>
      <c r="V44" s="2702"/>
      <c r="W44" s="2702"/>
      <c r="X44" s="2702"/>
      <c r="Y44" s="2702"/>
      <c r="Z44" s="2702"/>
      <c r="AA44" s="2702"/>
      <c r="AB44" s="2702"/>
      <c r="AC44" s="2702"/>
      <c r="AD44" s="2702"/>
      <c r="AE44" s="2702"/>
      <c r="AF44" s="2702"/>
      <c r="AG44" s="2702"/>
      <c r="AH44" s="2702"/>
      <c r="AI44" s="2702"/>
      <c r="AJ44" s="2702"/>
      <c r="AK44" s="2702"/>
      <c r="AL44" s="2702"/>
      <c r="AM44" s="2702"/>
      <c r="AN44" s="2702"/>
      <c r="AO44" s="2716">
        <f t="shared" si="4"/>
        <v>0</v>
      </c>
      <c r="AP44" s="2716"/>
      <c r="AQ44" s="2716"/>
      <c r="AR44" s="2716"/>
      <c r="AS44" s="2716"/>
      <c r="AT44" s="2716"/>
      <c r="AU44" s="2717">
        <f t="shared" si="5"/>
        <v>0</v>
      </c>
      <c r="AV44" s="2717"/>
      <c r="AW44" s="2717"/>
      <c r="AX44" s="2717"/>
      <c r="AY44" s="2717"/>
      <c r="AZ44" s="2717"/>
      <c r="BA44" s="1528"/>
      <c r="BB44" s="1528"/>
      <c r="BC44" s="1528"/>
      <c r="BD44" s="1528"/>
      <c r="BE44" s="1534"/>
    </row>
    <row r="45" spans="1:58" ht="15.75" customHeight="1">
      <c r="A45" s="1817"/>
      <c r="B45" s="2730" t="s">
        <v>2067</v>
      </c>
      <c r="C45" s="2731"/>
      <c r="D45" s="2731"/>
      <c r="E45" s="2731"/>
      <c r="F45" s="2731"/>
      <c r="G45" s="2731"/>
      <c r="H45" s="2731"/>
      <c r="I45" s="2732"/>
      <c r="J45" s="2719"/>
      <c r="K45" s="2720"/>
      <c r="L45" s="2720"/>
      <c r="M45" s="2721"/>
      <c r="N45" s="2722"/>
      <c r="O45" s="2720"/>
      <c r="P45" s="2720"/>
      <c r="Q45" s="2723"/>
      <c r="R45" s="2702"/>
      <c r="S45" s="2702"/>
      <c r="T45" s="2702"/>
      <c r="U45" s="2702"/>
      <c r="V45" s="2702"/>
      <c r="W45" s="2702"/>
      <c r="X45" s="2702"/>
      <c r="Y45" s="2702"/>
      <c r="Z45" s="2702"/>
      <c r="AA45" s="2702"/>
      <c r="AB45" s="2702"/>
      <c r="AC45" s="2702"/>
      <c r="AD45" s="2702"/>
      <c r="AE45" s="2702"/>
      <c r="AF45" s="2702"/>
      <c r="AG45" s="2702"/>
      <c r="AH45" s="2702"/>
      <c r="AI45" s="2702"/>
      <c r="AJ45" s="2702"/>
      <c r="AK45" s="2702"/>
      <c r="AL45" s="2702"/>
      <c r="AM45" s="2702"/>
      <c r="AN45" s="2702"/>
      <c r="AO45" s="2716">
        <f t="shared" si="4"/>
        <v>0</v>
      </c>
      <c r="AP45" s="2716"/>
      <c r="AQ45" s="2716"/>
      <c r="AR45" s="2716"/>
      <c r="AS45" s="2716"/>
      <c r="AT45" s="2716"/>
      <c r="AU45" s="2717">
        <f t="shared" si="5"/>
        <v>0</v>
      </c>
      <c r="AV45" s="2717"/>
      <c r="AW45" s="2717"/>
      <c r="AX45" s="2717"/>
      <c r="AY45" s="2717"/>
      <c r="AZ45" s="2717"/>
      <c r="BA45" s="1528"/>
      <c r="BB45" s="1528"/>
      <c r="BC45" s="1528"/>
      <c r="BD45" s="1528"/>
      <c r="BE45" s="1534"/>
    </row>
    <row r="46" spans="1:58" ht="15.75" customHeight="1">
      <c r="A46" s="1817"/>
      <c r="B46" s="2730" t="s">
        <v>2068</v>
      </c>
      <c r="C46" s="2731"/>
      <c r="D46" s="2731"/>
      <c r="E46" s="2731"/>
      <c r="F46" s="2731"/>
      <c r="G46" s="2731"/>
      <c r="H46" s="2731"/>
      <c r="I46" s="2732"/>
      <c r="J46" s="2719"/>
      <c r="K46" s="2720"/>
      <c r="L46" s="2720"/>
      <c r="M46" s="2721"/>
      <c r="N46" s="2700">
        <v>99</v>
      </c>
      <c r="O46" s="2698"/>
      <c r="P46" s="2698"/>
      <c r="Q46" s="2701"/>
      <c r="R46" s="2702"/>
      <c r="S46" s="2702"/>
      <c r="T46" s="2702"/>
      <c r="U46" s="2702"/>
      <c r="V46" s="2702"/>
      <c r="W46" s="2702"/>
      <c r="X46" s="2702"/>
      <c r="Y46" s="2702"/>
      <c r="Z46" s="2702"/>
      <c r="AA46" s="2702"/>
      <c r="AB46" s="2702"/>
      <c r="AC46" s="2702"/>
      <c r="AD46" s="2702"/>
      <c r="AE46" s="2702"/>
      <c r="AF46" s="2702"/>
      <c r="AG46" s="2702"/>
      <c r="AH46" s="2702"/>
      <c r="AI46" s="2702"/>
      <c r="AJ46" s="2702"/>
      <c r="AK46" s="2702"/>
      <c r="AL46" s="2702"/>
      <c r="AM46" s="2702"/>
      <c r="AN46" s="2702"/>
      <c r="AO46" s="2716">
        <f t="shared" si="4"/>
        <v>0</v>
      </c>
      <c r="AP46" s="2716"/>
      <c r="AQ46" s="2716"/>
      <c r="AR46" s="2716"/>
      <c r="AS46" s="2716"/>
      <c r="AT46" s="2716"/>
      <c r="AU46" s="2717">
        <f t="shared" si="5"/>
        <v>0</v>
      </c>
      <c r="AV46" s="2717"/>
      <c r="AW46" s="2717"/>
      <c r="AX46" s="2717"/>
      <c r="AY46" s="2717"/>
      <c r="AZ46" s="2717"/>
      <c r="BA46" s="1528"/>
      <c r="BB46" s="1528"/>
      <c r="BC46" s="1528"/>
      <c r="BD46" s="1528"/>
      <c r="BE46" s="1534"/>
    </row>
    <row r="47" spans="1:58" ht="15.75" customHeight="1" thickBot="1">
      <c r="A47" s="1817"/>
      <c r="B47" s="2733" t="s">
        <v>307</v>
      </c>
      <c r="C47" s="2734"/>
      <c r="D47" s="2734"/>
      <c r="E47" s="2734"/>
      <c r="F47" s="2734"/>
      <c r="G47" s="2734"/>
      <c r="H47" s="2734"/>
      <c r="I47" s="2735"/>
      <c r="J47" s="2736"/>
      <c r="K47" s="2737"/>
      <c r="L47" s="2737"/>
      <c r="M47" s="2738"/>
      <c r="N47" s="2739"/>
      <c r="O47" s="2737"/>
      <c r="P47" s="2737"/>
      <c r="Q47" s="2740"/>
      <c r="R47" s="2702"/>
      <c r="S47" s="2702"/>
      <c r="T47" s="2702"/>
      <c r="U47" s="2702"/>
      <c r="V47" s="2702"/>
      <c r="W47" s="2702"/>
      <c r="X47" s="2702"/>
      <c r="Y47" s="2702"/>
      <c r="Z47" s="2702"/>
      <c r="AA47" s="2702"/>
      <c r="AB47" s="2702"/>
      <c r="AC47" s="2702"/>
      <c r="AD47" s="2702"/>
      <c r="AE47" s="2702"/>
      <c r="AF47" s="2702"/>
      <c r="AG47" s="2702"/>
      <c r="AH47" s="2702"/>
      <c r="AI47" s="2702"/>
      <c r="AJ47" s="2702"/>
      <c r="AK47" s="2702"/>
      <c r="AL47" s="2702"/>
      <c r="AM47" s="2702"/>
      <c r="AN47" s="2702"/>
      <c r="AO47" s="2716">
        <f t="shared" si="4"/>
        <v>0</v>
      </c>
      <c r="AP47" s="2716"/>
      <c r="AQ47" s="2716"/>
      <c r="AR47" s="2716"/>
      <c r="AS47" s="2716"/>
      <c r="AT47" s="2716"/>
      <c r="AU47" s="2717">
        <f t="shared" si="5"/>
        <v>0</v>
      </c>
      <c r="AV47" s="2717"/>
      <c r="AW47" s="2717"/>
      <c r="AX47" s="2717"/>
      <c r="AY47" s="2717"/>
      <c r="AZ47" s="2717"/>
      <c r="BA47" s="1528"/>
      <c r="BB47" s="1528"/>
      <c r="BC47" s="1528"/>
      <c r="BD47" s="1528"/>
      <c r="BE47" s="1534"/>
    </row>
    <row r="48" spans="1:58" ht="15.75" customHeight="1">
      <c r="A48" s="1817"/>
      <c r="B48" s="1536" t="s">
        <v>2069</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2070</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41" t="s">
        <v>2071</v>
      </c>
      <c r="C50" s="2742"/>
      <c r="D50" s="2742"/>
      <c r="E50" s="2742"/>
      <c r="F50" s="2742"/>
      <c r="G50" s="2742"/>
      <c r="H50" s="2742"/>
      <c r="I50" s="2742"/>
      <c r="J50" s="2742"/>
      <c r="K50" s="2742"/>
      <c r="L50" s="2742"/>
      <c r="M50" s="2742"/>
      <c r="N50" s="2742"/>
      <c r="O50" s="2742"/>
      <c r="P50" s="2742"/>
      <c r="Q50" s="2742"/>
      <c r="R50" s="2742"/>
      <c r="S50" s="2742"/>
      <c r="T50" s="2742"/>
      <c r="U50" s="2742"/>
      <c r="V50" s="2742"/>
      <c r="W50" s="2742"/>
      <c r="X50" s="2742"/>
      <c r="Y50" s="2742"/>
      <c r="Z50" s="2742"/>
      <c r="AA50" s="2742"/>
      <c r="AB50" s="2742"/>
      <c r="AC50" s="2742"/>
      <c r="AD50" s="2742"/>
      <c r="AE50" s="2742"/>
      <c r="AF50" s="2742"/>
      <c r="AG50" s="2742"/>
      <c r="AH50" s="2742"/>
      <c r="AI50" s="2742"/>
      <c r="AJ50" s="2742"/>
      <c r="AK50" s="2742"/>
      <c r="AL50" s="2742"/>
      <c r="AM50" s="2742"/>
      <c r="AN50" s="2742"/>
      <c r="AO50" s="2743"/>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44" t="s">
        <v>2072</v>
      </c>
      <c r="C51" s="2745"/>
      <c r="D51" s="2745"/>
      <c r="E51" s="2745"/>
      <c r="F51" s="2745"/>
      <c r="G51" s="2745"/>
      <c r="H51" s="2745"/>
      <c r="I51" s="2746"/>
      <c r="J51" s="2744" t="s">
        <v>2073</v>
      </c>
      <c r="K51" s="2745"/>
      <c r="L51" s="2745"/>
      <c r="M51" s="2745"/>
      <c r="N51" s="2745"/>
      <c r="O51" s="2745"/>
      <c r="P51" s="2745"/>
      <c r="Q51" s="2746"/>
      <c r="R51" s="2747" t="s">
        <v>2074</v>
      </c>
      <c r="S51" s="2748"/>
      <c r="T51" s="2748"/>
      <c r="U51" s="2748"/>
      <c r="V51" s="2748"/>
      <c r="W51" s="2748"/>
      <c r="X51" s="2748"/>
      <c r="Y51" s="2749"/>
      <c r="Z51" s="2750" t="s">
        <v>2075</v>
      </c>
      <c r="AA51" s="2751"/>
      <c r="AB51" s="2751"/>
      <c r="AC51" s="2751"/>
      <c r="AD51" s="2751"/>
      <c r="AE51" s="2751"/>
      <c r="AF51" s="2751"/>
      <c r="AG51" s="2752"/>
      <c r="AH51" s="2750" t="s">
        <v>2076</v>
      </c>
      <c r="AI51" s="2751"/>
      <c r="AJ51" s="2751"/>
      <c r="AK51" s="2751"/>
      <c r="AL51" s="2751"/>
      <c r="AM51" s="2751"/>
      <c r="AN51" s="2751"/>
      <c r="AO51" s="2752"/>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53"/>
      <c r="C52" s="2754"/>
      <c r="D52" s="2754"/>
      <c r="E52" s="2754"/>
      <c r="F52" s="2754"/>
      <c r="G52" s="2754"/>
      <c r="H52" s="2754"/>
      <c r="I52" s="2754"/>
      <c r="J52" s="2754"/>
      <c r="K52" s="2754"/>
      <c r="L52" s="2754"/>
      <c r="M52" s="2754"/>
      <c r="N52" s="2754"/>
      <c r="O52" s="2754"/>
      <c r="P52" s="2754"/>
      <c r="Q52" s="2754"/>
      <c r="R52" s="2755"/>
      <c r="S52" s="2755"/>
      <c r="T52" s="2755"/>
      <c r="U52" s="2755"/>
      <c r="V52" s="2755"/>
      <c r="W52" s="2755"/>
      <c r="X52" s="2755"/>
      <c r="Y52" s="2755"/>
      <c r="Z52" s="2754"/>
      <c r="AA52" s="2754"/>
      <c r="AB52" s="2754"/>
      <c r="AC52" s="2754"/>
      <c r="AD52" s="2754"/>
      <c r="AE52" s="2754"/>
      <c r="AF52" s="2754"/>
      <c r="AG52" s="2754"/>
      <c r="AH52" s="2754"/>
      <c r="AI52" s="2754"/>
      <c r="AJ52" s="2754"/>
      <c r="AK52" s="2754"/>
      <c r="AL52" s="2754"/>
      <c r="AM52" s="2754"/>
      <c r="AN52" s="2754"/>
      <c r="AO52" s="2756"/>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53"/>
      <c r="C53" s="2754"/>
      <c r="D53" s="2754"/>
      <c r="E53" s="2754"/>
      <c r="F53" s="2754"/>
      <c r="G53" s="2754"/>
      <c r="H53" s="2754"/>
      <c r="I53" s="2754"/>
      <c r="J53" s="2754"/>
      <c r="K53" s="2754"/>
      <c r="L53" s="2754"/>
      <c r="M53" s="2754"/>
      <c r="N53" s="2754"/>
      <c r="O53" s="2754"/>
      <c r="P53" s="2754"/>
      <c r="Q53" s="2754"/>
      <c r="R53" s="2755"/>
      <c r="S53" s="2755"/>
      <c r="T53" s="2755"/>
      <c r="U53" s="2755"/>
      <c r="V53" s="2755"/>
      <c r="W53" s="2755"/>
      <c r="X53" s="2755"/>
      <c r="Y53" s="2755"/>
      <c r="Z53" s="2754"/>
      <c r="AA53" s="2754"/>
      <c r="AB53" s="2754"/>
      <c r="AC53" s="2754"/>
      <c r="AD53" s="2754"/>
      <c r="AE53" s="2754"/>
      <c r="AF53" s="2754"/>
      <c r="AG53" s="2754"/>
      <c r="AH53" s="2754"/>
      <c r="AI53" s="2754"/>
      <c r="AJ53" s="2754"/>
      <c r="AK53" s="2754"/>
      <c r="AL53" s="2754"/>
      <c r="AM53" s="2754"/>
      <c r="AN53" s="2754"/>
      <c r="AO53" s="2756"/>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53"/>
      <c r="C54" s="2754"/>
      <c r="D54" s="2754"/>
      <c r="E54" s="2754"/>
      <c r="F54" s="2754"/>
      <c r="G54" s="2754"/>
      <c r="H54" s="2754"/>
      <c r="I54" s="2754"/>
      <c r="J54" s="2754"/>
      <c r="K54" s="2754"/>
      <c r="L54" s="2754"/>
      <c r="M54" s="2754"/>
      <c r="N54" s="2754"/>
      <c r="O54" s="2754"/>
      <c r="P54" s="2754"/>
      <c r="Q54" s="2754"/>
      <c r="R54" s="2755"/>
      <c r="S54" s="2755"/>
      <c r="T54" s="2755"/>
      <c r="U54" s="2755"/>
      <c r="V54" s="2755"/>
      <c r="W54" s="2755"/>
      <c r="X54" s="2755"/>
      <c r="Y54" s="2755"/>
      <c r="Z54" s="2754"/>
      <c r="AA54" s="2754"/>
      <c r="AB54" s="2754"/>
      <c r="AC54" s="2754"/>
      <c r="AD54" s="2754"/>
      <c r="AE54" s="2754"/>
      <c r="AF54" s="2754"/>
      <c r="AG54" s="2754"/>
      <c r="AH54" s="2754"/>
      <c r="AI54" s="2754"/>
      <c r="AJ54" s="2754"/>
      <c r="AK54" s="2754"/>
      <c r="AL54" s="2754"/>
      <c r="AM54" s="2754"/>
      <c r="AN54" s="2754"/>
      <c r="AO54" s="2756"/>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53"/>
      <c r="C55" s="2754"/>
      <c r="D55" s="2754"/>
      <c r="E55" s="2754"/>
      <c r="F55" s="2754"/>
      <c r="G55" s="2754"/>
      <c r="H55" s="2754"/>
      <c r="I55" s="2754"/>
      <c r="J55" s="2754"/>
      <c r="K55" s="2754"/>
      <c r="L55" s="2754"/>
      <c r="M55" s="2754"/>
      <c r="N55" s="2754"/>
      <c r="O55" s="2754"/>
      <c r="P55" s="2754"/>
      <c r="Q55" s="2754"/>
      <c r="R55" s="2755"/>
      <c r="S55" s="2755"/>
      <c r="T55" s="2755"/>
      <c r="U55" s="2755"/>
      <c r="V55" s="2755"/>
      <c r="W55" s="2755"/>
      <c r="X55" s="2755"/>
      <c r="Y55" s="2755"/>
      <c r="Z55" s="2754"/>
      <c r="AA55" s="2754"/>
      <c r="AB55" s="2754"/>
      <c r="AC55" s="2754"/>
      <c r="AD55" s="2754"/>
      <c r="AE55" s="2754"/>
      <c r="AF55" s="2754"/>
      <c r="AG55" s="2754"/>
      <c r="AH55" s="2754"/>
      <c r="AI55" s="2754"/>
      <c r="AJ55" s="2754"/>
      <c r="AK55" s="2754"/>
      <c r="AL55" s="2754"/>
      <c r="AM55" s="2754"/>
      <c r="AN55" s="2754"/>
      <c r="AO55" s="2756"/>
      <c r="AP55" s="1530"/>
      <c r="AQ55" s="1530"/>
      <c r="AR55" s="1530"/>
      <c r="AS55" s="1530"/>
      <c r="AT55" s="1530" t="s">
        <v>255</v>
      </c>
      <c r="AU55" s="1530"/>
      <c r="AV55" s="1530"/>
      <c r="AW55" s="1530"/>
      <c r="AX55" s="1528"/>
      <c r="AY55" s="1528"/>
      <c r="AZ55" s="1528"/>
      <c r="BA55" s="1528"/>
      <c r="BB55" s="1528"/>
      <c r="BC55" s="1528"/>
      <c r="BD55" s="1528"/>
      <c r="BE55" s="1534"/>
    </row>
    <row r="56" spans="1:58" ht="15.75" customHeight="1" thickBot="1">
      <c r="A56" s="1817"/>
      <c r="B56" s="2766"/>
      <c r="C56" s="2767"/>
      <c r="D56" s="2767"/>
      <c r="E56" s="2767"/>
      <c r="F56" s="2767"/>
      <c r="G56" s="2767"/>
      <c r="H56" s="2767"/>
      <c r="I56" s="2767"/>
      <c r="J56" s="2767"/>
      <c r="K56" s="2767"/>
      <c r="L56" s="2767"/>
      <c r="M56" s="2767"/>
      <c r="N56" s="2767"/>
      <c r="O56" s="2767"/>
      <c r="P56" s="2767"/>
      <c r="Q56" s="2767"/>
      <c r="R56" s="2768"/>
      <c r="S56" s="2768"/>
      <c r="T56" s="2768"/>
      <c r="U56" s="2768"/>
      <c r="V56" s="2768"/>
      <c r="W56" s="2768"/>
      <c r="X56" s="2768"/>
      <c r="Y56" s="2768"/>
      <c r="Z56" s="2767"/>
      <c r="AA56" s="2767"/>
      <c r="AB56" s="2767"/>
      <c r="AC56" s="2767"/>
      <c r="AD56" s="2767"/>
      <c r="AE56" s="2767"/>
      <c r="AF56" s="2767"/>
      <c r="AG56" s="2767"/>
      <c r="AH56" s="2767"/>
      <c r="AI56" s="2767"/>
      <c r="AJ56" s="2767"/>
      <c r="AK56" s="2767"/>
      <c r="AL56" s="2767"/>
      <c r="AM56" s="2767"/>
      <c r="AN56" s="2767"/>
      <c r="AO56" s="2769"/>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70" t="s">
        <v>1878</v>
      </c>
      <c r="C57" s="2771"/>
      <c r="D57" s="2771"/>
      <c r="E57" s="2771"/>
      <c r="F57" s="2771"/>
      <c r="G57" s="2771"/>
      <c r="H57" s="2771"/>
      <c r="I57" s="2771"/>
      <c r="J57" s="2771"/>
      <c r="K57" s="2771"/>
      <c r="L57" s="2771"/>
      <c r="M57" s="2771"/>
      <c r="N57" s="2771"/>
      <c r="O57" s="2771"/>
      <c r="P57" s="2771"/>
      <c r="Q57" s="2771"/>
      <c r="R57" s="2772">
        <f>SUM(R52:Y56)</f>
        <v>0</v>
      </c>
      <c r="S57" s="2772"/>
      <c r="T57" s="2772"/>
      <c r="U57" s="2772"/>
      <c r="V57" s="2772"/>
      <c r="W57" s="2772"/>
      <c r="X57" s="2772"/>
      <c r="Y57" s="2772"/>
      <c r="Z57" s="2772">
        <f t="shared" ref="Z57" si="6">SUM(Z52:AG56)</f>
        <v>0</v>
      </c>
      <c r="AA57" s="2772"/>
      <c r="AB57" s="2772"/>
      <c r="AC57" s="2772"/>
      <c r="AD57" s="2772"/>
      <c r="AE57" s="2772"/>
      <c r="AF57" s="2772"/>
      <c r="AG57" s="2772"/>
      <c r="AH57" s="2772">
        <f t="shared" ref="AH57" si="7">SUM(AH52:AO56)</f>
        <v>0</v>
      </c>
      <c r="AI57" s="2772"/>
      <c r="AJ57" s="2772"/>
      <c r="AK57" s="2772"/>
      <c r="AL57" s="2772"/>
      <c r="AM57" s="2772"/>
      <c r="AN57" s="2772"/>
      <c r="AO57" s="2772"/>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57" t="s">
        <v>2072</v>
      </c>
      <c r="C59" s="2758"/>
      <c r="D59" s="2758"/>
      <c r="E59" s="2758"/>
      <c r="F59" s="2758"/>
      <c r="G59" s="2758"/>
      <c r="H59" s="2758"/>
      <c r="I59" s="2759"/>
      <c r="J59" s="2760" t="s">
        <v>2077</v>
      </c>
      <c r="K59" s="2760"/>
      <c r="L59" s="2760"/>
      <c r="M59" s="2760"/>
      <c r="N59" s="2760"/>
      <c r="O59" s="2760"/>
      <c r="P59" s="2760"/>
      <c r="Q59" s="2760"/>
      <c r="R59" s="2760"/>
      <c r="S59" s="2760"/>
      <c r="T59" s="2760"/>
      <c r="U59" s="2760"/>
      <c r="V59" s="2760"/>
      <c r="W59" s="2760"/>
      <c r="X59" s="2760"/>
      <c r="Y59" s="2760"/>
      <c r="Z59" s="2760"/>
      <c r="AA59" s="2760"/>
      <c r="AB59" s="2760"/>
      <c r="AC59" s="2760"/>
      <c r="AD59" s="2760"/>
      <c r="AE59" s="2760"/>
      <c r="AF59" s="2760"/>
      <c r="AG59" s="2760"/>
      <c r="AH59" s="2760"/>
      <c r="AI59" s="2760"/>
      <c r="AJ59" s="2760"/>
      <c r="AK59" s="2760"/>
      <c r="AL59" s="2760"/>
      <c r="AM59" s="2760"/>
      <c r="AN59" s="2760"/>
      <c r="AO59" s="2760"/>
      <c r="AP59" s="2760"/>
      <c r="AQ59" s="2760"/>
      <c r="AR59" s="2760"/>
      <c r="AS59" s="2760"/>
      <c r="AT59" s="2760"/>
      <c r="AU59" s="2760"/>
      <c r="AV59" s="2760"/>
      <c r="AW59" s="2761"/>
      <c r="AX59" s="1528"/>
      <c r="AY59" s="1528"/>
      <c r="AZ59" s="1528"/>
      <c r="BA59" s="1528"/>
      <c r="BB59" s="1528"/>
      <c r="BC59" s="1528"/>
      <c r="BD59" s="1528"/>
      <c r="BE59" s="1534"/>
    </row>
    <row r="60" spans="1:58" ht="15.75" customHeight="1">
      <c r="A60" s="1817"/>
      <c r="B60" s="2762" t="str">
        <f>IF(B52="", "", B52)</f>
        <v/>
      </c>
      <c r="C60" s="2763"/>
      <c r="D60" s="2763"/>
      <c r="E60" s="2763"/>
      <c r="F60" s="2763"/>
      <c r="G60" s="2763"/>
      <c r="H60" s="2763"/>
      <c r="I60" s="2764"/>
      <c r="J60" s="2765"/>
      <c r="K60" s="2754"/>
      <c r="L60" s="2754"/>
      <c r="M60" s="2754"/>
      <c r="N60" s="2754"/>
      <c r="O60" s="2754"/>
      <c r="P60" s="2754"/>
      <c r="Q60" s="2754"/>
      <c r="R60" s="2754"/>
      <c r="S60" s="2754"/>
      <c r="T60" s="2754"/>
      <c r="U60" s="2754"/>
      <c r="V60" s="2754"/>
      <c r="W60" s="2754"/>
      <c r="X60" s="2754"/>
      <c r="Y60" s="2754"/>
      <c r="Z60" s="2754"/>
      <c r="AA60" s="2754"/>
      <c r="AB60" s="2754"/>
      <c r="AC60" s="2754"/>
      <c r="AD60" s="2754"/>
      <c r="AE60" s="2754"/>
      <c r="AF60" s="2754"/>
      <c r="AG60" s="2754"/>
      <c r="AH60" s="2754"/>
      <c r="AI60" s="2754"/>
      <c r="AJ60" s="2754"/>
      <c r="AK60" s="2754"/>
      <c r="AL60" s="2754"/>
      <c r="AM60" s="2754"/>
      <c r="AN60" s="2754"/>
      <c r="AO60" s="2754"/>
      <c r="AP60" s="2754"/>
      <c r="AQ60" s="2754"/>
      <c r="AR60" s="2754"/>
      <c r="AS60" s="2754"/>
      <c r="AT60" s="2754"/>
      <c r="AU60" s="2754"/>
      <c r="AV60" s="2754"/>
      <c r="AW60" s="2756"/>
      <c r="AX60" s="1528"/>
      <c r="AY60" s="1528"/>
      <c r="AZ60" s="1528"/>
      <c r="BA60" s="1528"/>
      <c r="BB60" s="1528"/>
      <c r="BC60" s="1528"/>
      <c r="BD60" s="1528"/>
      <c r="BE60" s="1534"/>
    </row>
    <row r="61" spans="1:58" ht="15.75" customHeight="1">
      <c r="A61" s="1817"/>
      <c r="B61" s="2762" t="str">
        <f t="shared" ref="B61:B64" si="8">IF(B53="", "", B53)</f>
        <v/>
      </c>
      <c r="C61" s="2763"/>
      <c r="D61" s="2763"/>
      <c r="E61" s="2763"/>
      <c r="F61" s="2763"/>
      <c r="G61" s="2763"/>
      <c r="H61" s="2763"/>
      <c r="I61" s="2764"/>
      <c r="J61" s="2765"/>
      <c r="K61" s="2754"/>
      <c r="L61" s="2754"/>
      <c r="M61" s="2754"/>
      <c r="N61" s="2754"/>
      <c r="O61" s="2754"/>
      <c r="P61" s="2754"/>
      <c r="Q61" s="2754"/>
      <c r="R61" s="2754"/>
      <c r="S61" s="2754"/>
      <c r="T61" s="2754"/>
      <c r="U61" s="2754"/>
      <c r="V61" s="2754"/>
      <c r="W61" s="2754"/>
      <c r="X61" s="2754"/>
      <c r="Y61" s="2754"/>
      <c r="Z61" s="2754"/>
      <c r="AA61" s="2754"/>
      <c r="AB61" s="2754"/>
      <c r="AC61" s="2754"/>
      <c r="AD61" s="2754"/>
      <c r="AE61" s="2754"/>
      <c r="AF61" s="2754"/>
      <c r="AG61" s="2754"/>
      <c r="AH61" s="2754"/>
      <c r="AI61" s="2754"/>
      <c r="AJ61" s="2754"/>
      <c r="AK61" s="2754"/>
      <c r="AL61" s="2754"/>
      <c r="AM61" s="2754"/>
      <c r="AN61" s="2754"/>
      <c r="AO61" s="2754"/>
      <c r="AP61" s="2754"/>
      <c r="AQ61" s="2754"/>
      <c r="AR61" s="2754"/>
      <c r="AS61" s="2754"/>
      <c r="AT61" s="2754"/>
      <c r="AU61" s="2754"/>
      <c r="AV61" s="2754"/>
      <c r="AW61" s="2756"/>
      <c r="AX61" s="1528"/>
      <c r="AY61" s="1528"/>
      <c r="AZ61" s="1528"/>
      <c r="BA61" s="1528"/>
      <c r="BB61" s="1528"/>
      <c r="BC61" s="1528"/>
      <c r="BD61" s="1528"/>
      <c r="BE61" s="1534"/>
    </row>
    <row r="62" spans="1:58" ht="15.75" customHeight="1">
      <c r="A62" s="1817"/>
      <c r="B62" s="2762" t="str">
        <f t="shared" si="8"/>
        <v/>
      </c>
      <c r="C62" s="2763"/>
      <c r="D62" s="2763"/>
      <c r="E62" s="2763"/>
      <c r="F62" s="2763"/>
      <c r="G62" s="2763"/>
      <c r="H62" s="2763"/>
      <c r="I62" s="2764"/>
      <c r="J62" s="2765"/>
      <c r="K62" s="2754"/>
      <c r="L62" s="2754"/>
      <c r="M62" s="2754"/>
      <c r="N62" s="2754"/>
      <c r="O62" s="2754"/>
      <c r="P62" s="2754"/>
      <c r="Q62" s="2754"/>
      <c r="R62" s="2754"/>
      <c r="S62" s="2754"/>
      <c r="T62" s="2754"/>
      <c r="U62" s="2754"/>
      <c r="V62" s="2754"/>
      <c r="W62" s="2754"/>
      <c r="X62" s="2754"/>
      <c r="Y62" s="2754"/>
      <c r="Z62" s="2754"/>
      <c r="AA62" s="2754"/>
      <c r="AB62" s="2754"/>
      <c r="AC62" s="2754"/>
      <c r="AD62" s="2754"/>
      <c r="AE62" s="2754"/>
      <c r="AF62" s="2754"/>
      <c r="AG62" s="2754"/>
      <c r="AH62" s="2754"/>
      <c r="AI62" s="2754"/>
      <c r="AJ62" s="2754"/>
      <c r="AK62" s="2754"/>
      <c r="AL62" s="2754"/>
      <c r="AM62" s="2754"/>
      <c r="AN62" s="2754"/>
      <c r="AO62" s="2754"/>
      <c r="AP62" s="2754"/>
      <c r="AQ62" s="2754"/>
      <c r="AR62" s="2754"/>
      <c r="AS62" s="2754"/>
      <c r="AT62" s="2754"/>
      <c r="AU62" s="2754"/>
      <c r="AV62" s="2754"/>
      <c r="AW62" s="2756"/>
      <c r="AX62" s="1528"/>
      <c r="AY62" s="1528"/>
      <c r="AZ62" s="1528"/>
      <c r="BA62" s="1528"/>
      <c r="BB62" s="1528"/>
      <c r="BC62" s="1528"/>
      <c r="BD62" s="1528"/>
      <c r="BE62" s="1534"/>
    </row>
    <row r="63" spans="1:58" ht="15.75" customHeight="1">
      <c r="A63" s="1817"/>
      <c r="B63" s="2762" t="str">
        <f t="shared" si="8"/>
        <v/>
      </c>
      <c r="C63" s="2763"/>
      <c r="D63" s="2763"/>
      <c r="E63" s="2763"/>
      <c r="F63" s="2763"/>
      <c r="G63" s="2763"/>
      <c r="H63" s="2763"/>
      <c r="I63" s="2764"/>
      <c r="J63" s="2765"/>
      <c r="K63" s="2754"/>
      <c r="L63" s="2754"/>
      <c r="M63" s="2754"/>
      <c r="N63" s="2754"/>
      <c r="O63" s="2754"/>
      <c r="P63" s="2754"/>
      <c r="Q63" s="2754"/>
      <c r="R63" s="2754"/>
      <c r="S63" s="2754"/>
      <c r="T63" s="2754"/>
      <c r="U63" s="2754"/>
      <c r="V63" s="2754"/>
      <c r="W63" s="2754"/>
      <c r="X63" s="2754"/>
      <c r="Y63" s="2754"/>
      <c r="Z63" s="2754"/>
      <c r="AA63" s="2754"/>
      <c r="AB63" s="2754"/>
      <c r="AC63" s="2754"/>
      <c r="AD63" s="2754"/>
      <c r="AE63" s="2754"/>
      <c r="AF63" s="2754"/>
      <c r="AG63" s="2754"/>
      <c r="AH63" s="2754"/>
      <c r="AI63" s="2754"/>
      <c r="AJ63" s="2754"/>
      <c r="AK63" s="2754"/>
      <c r="AL63" s="2754"/>
      <c r="AM63" s="2754"/>
      <c r="AN63" s="2754"/>
      <c r="AO63" s="2754"/>
      <c r="AP63" s="2754"/>
      <c r="AQ63" s="2754"/>
      <c r="AR63" s="2754"/>
      <c r="AS63" s="2754"/>
      <c r="AT63" s="2754"/>
      <c r="AU63" s="2754"/>
      <c r="AV63" s="2754"/>
      <c r="AW63" s="2756"/>
      <c r="AX63" s="1528"/>
      <c r="AY63" s="1528"/>
      <c r="AZ63" s="1528"/>
      <c r="BA63" s="1528"/>
      <c r="BB63" s="1528"/>
      <c r="BC63" s="1528"/>
      <c r="BD63" s="1528"/>
      <c r="BE63" s="1534"/>
    </row>
    <row r="64" spans="1:58" ht="15.75" customHeight="1" thickBot="1">
      <c r="A64" s="1817"/>
      <c r="B64" s="2785" t="str">
        <f t="shared" si="8"/>
        <v/>
      </c>
      <c r="C64" s="2786"/>
      <c r="D64" s="2786"/>
      <c r="E64" s="2786"/>
      <c r="F64" s="2786"/>
      <c r="G64" s="2786"/>
      <c r="H64" s="2786"/>
      <c r="I64" s="2787"/>
      <c r="J64" s="2788"/>
      <c r="K64" s="2767"/>
      <c r="L64" s="2767"/>
      <c r="M64" s="2767"/>
      <c r="N64" s="2767"/>
      <c r="O64" s="2767"/>
      <c r="P64" s="2767"/>
      <c r="Q64" s="2767"/>
      <c r="R64" s="2767"/>
      <c r="S64" s="2767"/>
      <c r="T64" s="2767"/>
      <c r="U64" s="2767"/>
      <c r="V64" s="2767"/>
      <c r="W64" s="2767"/>
      <c r="X64" s="2767"/>
      <c r="Y64" s="2767"/>
      <c r="Z64" s="2767"/>
      <c r="AA64" s="2767"/>
      <c r="AB64" s="2767"/>
      <c r="AC64" s="2767"/>
      <c r="AD64" s="2767"/>
      <c r="AE64" s="2767"/>
      <c r="AF64" s="2767"/>
      <c r="AG64" s="2767"/>
      <c r="AH64" s="2767"/>
      <c r="AI64" s="2767"/>
      <c r="AJ64" s="2767"/>
      <c r="AK64" s="2767"/>
      <c r="AL64" s="2767"/>
      <c r="AM64" s="2767"/>
      <c r="AN64" s="2767"/>
      <c r="AO64" s="2767"/>
      <c r="AP64" s="2767"/>
      <c r="AQ64" s="2767"/>
      <c r="AR64" s="2767"/>
      <c r="AS64" s="2767"/>
      <c r="AT64" s="2767"/>
      <c r="AU64" s="2767"/>
      <c r="AV64" s="2767"/>
      <c r="AW64" s="2769"/>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2078</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40" t="s">
        <v>2079</v>
      </c>
      <c r="C68" s="2641"/>
      <c r="D68" s="2641"/>
      <c r="E68" s="2641"/>
      <c r="F68" s="2641"/>
      <c r="G68" s="2641"/>
      <c r="H68" s="2641"/>
      <c r="I68" s="2641"/>
      <c r="J68" s="2641"/>
      <c r="K68" s="2641"/>
      <c r="L68" s="2641"/>
      <c r="M68" s="2641"/>
      <c r="N68" s="2641"/>
      <c r="O68" s="2641"/>
      <c r="P68" s="2641"/>
      <c r="Q68" s="2641"/>
      <c r="R68" s="2641"/>
      <c r="S68" s="2641"/>
      <c r="T68" s="2641"/>
      <c r="U68" s="2641"/>
      <c r="V68" s="2641"/>
      <c r="W68" s="2641"/>
      <c r="X68" s="2641"/>
      <c r="Y68" s="2641"/>
      <c r="Z68" s="2641"/>
      <c r="AA68" s="2642"/>
      <c r="AB68" s="1528"/>
      <c r="AC68" s="2799" t="s">
        <v>2080</v>
      </c>
      <c r="AD68" s="2800"/>
      <c r="AE68" s="2800"/>
      <c r="AF68" s="2800"/>
      <c r="AG68" s="2800"/>
      <c r="AH68" s="2800"/>
      <c r="AI68" s="2800"/>
      <c r="AJ68" s="2800"/>
      <c r="AK68" s="2800"/>
      <c r="AL68" s="2800"/>
      <c r="AM68" s="2800"/>
      <c r="AN68" s="2800"/>
      <c r="AO68" s="2800"/>
      <c r="AP68" s="2800"/>
      <c r="AQ68" s="2800"/>
      <c r="AR68" s="2800"/>
      <c r="AS68" s="2800"/>
      <c r="AT68" s="2800"/>
      <c r="AU68" s="2800"/>
      <c r="AV68" s="2773" t="s">
        <v>2036</v>
      </c>
      <c r="AW68" s="2773"/>
      <c r="AX68" s="2773"/>
      <c r="AY68" s="2773"/>
      <c r="AZ68" s="2773"/>
      <c r="BA68" s="2773"/>
      <c r="BB68" s="2773"/>
      <c r="BC68" s="2774"/>
      <c r="BD68" s="1528"/>
      <c r="BE68" s="1534"/>
    </row>
    <row r="69" spans="1:57" ht="15.75" customHeight="1" thickBot="1">
      <c r="A69" s="1817"/>
      <c r="B69" s="2775" t="s">
        <v>2081</v>
      </c>
      <c r="C69" s="2776"/>
      <c r="D69" s="2776"/>
      <c r="E69" s="2776"/>
      <c r="F69" s="2776"/>
      <c r="G69" s="2776"/>
      <c r="H69" s="2776"/>
      <c r="I69" s="2776"/>
      <c r="J69" s="2776"/>
      <c r="K69" s="2776"/>
      <c r="L69" s="2776"/>
      <c r="M69" s="2776"/>
      <c r="N69" s="2776"/>
      <c r="O69" s="2777" t="s">
        <v>2082</v>
      </c>
      <c r="P69" s="2778"/>
      <c r="Q69" s="2778"/>
      <c r="R69" s="2778"/>
      <c r="S69" s="2778"/>
      <c r="T69" s="2778"/>
      <c r="U69" s="2778"/>
      <c r="V69" s="2778"/>
      <c r="W69" s="2778"/>
      <c r="X69" s="2778"/>
      <c r="Y69" s="2778"/>
      <c r="Z69" s="2778"/>
      <c r="AA69" s="2779"/>
      <c r="AB69" s="1528"/>
      <c r="AC69" s="2780" t="s">
        <v>2083</v>
      </c>
      <c r="AD69" s="2781"/>
      <c r="AE69" s="2781"/>
      <c r="AF69" s="2781"/>
      <c r="AG69" s="2781"/>
      <c r="AH69" s="2781"/>
      <c r="AI69" s="2781"/>
      <c r="AJ69" s="2781"/>
      <c r="AK69" s="2781"/>
      <c r="AL69" s="2781"/>
      <c r="AM69" s="2781"/>
      <c r="AN69" s="2781"/>
      <c r="AO69" s="2781"/>
      <c r="AP69" s="2781"/>
      <c r="AQ69" s="2781"/>
      <c r="AR69" s="2781"/>
      <c r="AS69" s="2781"/>
      <c r="AT69" s="2781"/>
      <c r="AU69" s="2781"/>
      <c r="AV69" s="2782">
        <v>44197</v>
      </c>
      <c r="AW69" s="2783"/>
      <c r="AX69" s="2783"/>
      <c r="AY69" s="2783"/>
      <c r="AZ69" s="2783"/>
      <c r="BA69" s="2783"/>
      <c r="BB69" s="2783"/>
      <c r="BC69" s="2784"/>
      <c r="BD69" s="1528"/>
      <c r="BE69" s="1534"/>
    </row>
    <row r="70" spans="1:57" ht="15.75" customHeight="1">
      <c r="A70" s="1817"/>
      <c r="B70" s="2789"/>
      <c r="C70" s="2790"/>
      <c r="D70" s="2790"/>
      <c r="E70" s="2790"/>
      <c r="F70" s="2790"/>
      <c r="G70" s="2790"/>
      <c r="H70" s="2790"/>
      <c r="I70" s="2790"/>
      <c r="J70" s="2790"/>
      <c r="K70" s="2790"/>
      <c r="L70" s="2790"/>
      <c r="M70" s="2790"/>
      <c r="N70" s="2790"/>
      <c r="O70" s="2791"/>
      <c r="P70" s="2791"/>
      <c r="Q70" s="2791"/>
      <c r="R70" s="2791"/>
      <c r="S70" s="2791"/>
      <c r="T70" s="2791"/>
      <c r="U70" s="2791"/>
      <c r="V70" s="2791"/>
      <c r="W70" s="2791"/>
      <c r="X70" s="2791"/>
      <c r="Y70" s="2791"/>
      <c r="Z70" s="2791"/>
      <c r="AA70" s="2792"/>
      <c r="AB70" s="1528"/>
      <c r="AC70" s="2793" t="s">
        <v>2084</v>
      </c>
      <c r="AD70" s="2794"/>
      <c r="AE70" s="2794"/>
      <c r="AF70" s="2795"/>
      <c r="AG70" s="2795"/>
      <c r="AH70" s="2795"/>
      <c r="AI70" s="2795"/>
      <c r="AJ70" s="2795"/>
      <c r="AK70" s="2795"/>
      <c r="AL70" s="2795"/>
      <c r="AM70" s="2795"/>
      <c r="AN70" s="2795"/>
      <c r="AO70" s="2795"/>
      <c r="AP70" s="2795"/>
      <c r="AQ70" s="2795"/>
      <c r="AR70" s="2795"/>
      <c r="AS70" s="2795"/>
      <c r="AT70" s="2795"/>
      <c r="AU70" s="2796"/>
      <c r="AV70" s="1528"/>
      <c r="AW70" s="1528"/>
      <c r="AX70" s="1528"/>
      <c r="AY70" s="1528"/>
      <c r="AZ70" s="1528"/>
      <c r="BA70" s="1528"/>
      <c r="BB70" s="1528"/>
      <c r="BC70" s="1528"/>
      <c r="BD70" s="1528"/>
      <c r="BE70" s="1534"/>
    </row>
    <row r="71" spans="1:57" ht="15.75" customHeight="1" thickBot="1">
      <c r="A71" s="1817"/>
      <c r="B71" s="2722"/>
      <c r="C71" s="2720"/>
      <c r="D71" s="2720"/>
      <c r="E71" s="2720"/>
      <c r="F71" s="2720"/>
      <c r="G71" s="2720"/>
      <c r="H71" s="2720"/>
      <c r="I71" s="2720"/>
      <c r="J71" s="2720"/>
      <c r="K71" s="2720"/>
      <c r="L71" s="2720"/>
      <c r="M71" s="2720"/>
      <c r="N71" s="2720"/>
      <c r="O71" s="2791"/>
      <c r="P71" s="2791"/>
      <c r="Q71" s="2791"/>
      <c r="R71" s="2791"/>
      <c r="S71" s="2791"/>
      <c r="T71" s="2791"/>
      <c r="U71" s="2791"/>
      <c r="V71" s="2791"/>
      <c r="W71" s="2791"/>
      <c r="X71" s="2791"/>
      <c r="Y71" s="2791"/>
      <c r="Z71" s="2791"/>
      <c r="AA71" s="2792"/>
      <c r="AB71" s="1528"/>
      <c r="AC71" s="2797" t="s">
        <v>2085</v>
      </c>
      <c r="AD71" s="2798"/>
      <c r="AE71" s="2798"/>
      <c r="AF71" s="2737"/>
      <c r="AG71" s="2737"/>
      <c r="AH71" s="2737"/>
      <c r="AI71" s="2737"/>
      <c r="AJ71" s="2737"/>
      <c r="AK71" s="2737"/>
      <c r="AL71" s="2737"/>
      <c r="AM71" s="2737"/>
      <c r="AN71" s="2737"/>
      <c r="AO71" s="2737"/>
      <c r="AP71" s="2737"/>
      <c r="AQ71" s="2737"/>
      <c r="AR71" s="2737"/>
      <c r="AS71" s="2737"/>
      <c r="AT71" s="2737"/>
      <c r="AU71" s="2738"/>
      <c r="AV71" s="1528"/>
      <c r="AW71" s="1528"/>
      <c r="AX71" s="1528"/>
      <c r="AY71" s="1528"/>
      <c r="AZ71" s="1528"/>
      <c r="BA71" s="1528"/>
      <c r="BB71" s="1528"/>
      <c r="BC71" s="1528"/>
      <c r="BD71" s="1528"/>
      <c r="BE71" s="1534"/>
    </row>
    <row r="72" spans="1:57" ht="15.75" customHeight="1">
      <c r="A72" s="1817"/>
      <c r="B72" s="2722"/>
      <c r="C72" s="2720"/>
      <c r="D72" s="2720"/>
      <c r="E72" s="2720"/>
      <c r="F72" s="2720"/>
      <c r="G72" s="2720"/>
      <c r="H72" s="2720"/>
      <c r="I72" s="2720"/>
      <c r="J72" s="2720"/>
      <c r="K72" s="2720"/>
      <c r="L72" s="2720"/>
      <c r="M72" s="2720"/>
      <c r="N72" s="2720"/>
      <c r="O72" s="2791"/>
      <c r="P72" s="2791"/>
      <c r="Q72" s="2791"/>
      <c r="R72" s="2791"/>
      <c r="S72" s="2791"/>
      <c r="T72" s="2791"/>
      <c r="U72" s="2791"/>
      <c r="V72" s="2791"/>
      <c r="W72" s="2791"/>
      <c r="X72" s="2791"/>
      <c r="Y72" s="2791"/>
      <c r="Z72" s="2791"/>
      <c r="AA72" s="2792"/>
      <c r="AB72" s="1528"/>
      <c r="AC72" s="2806" t="s">
        <v>2086</v>
      </c>
      <c r="AD72" s="2807"/>
      <c r="AE72" s="2807"/>
      <c r="AF72" s="2807"/>
      <c r="AG72" s="2807"/>
      <c r="AH72" s="2807"/>
      <c r="AI72" s="2807"/>
      <c r="AJ72" s="2807"/>
      <c r="AK72" s="2807"/>
      <c r="AL72" s="2807"/>
      <c r="AM72" s="2807"/>
      <c r="AN72" s="2807"/>
      <c r="AO72" s="2807"/>
      <c r="AP72" s="2807"/>
      <c r="AQ72" s="2807"/>
      <c r="AR72" s="2807"/>
      <c r="AS72" s="2807"/>
      <c r="AT72" s="2807"/>
      <c r="AU72" s="2807"/>
      <c r="AV72" s="2807"/>
      <c r="AW72" s="2807"/>
      <c r="AX72" s="2807"/>
      <c r="AY72" s="2807"/>
      <c r="AZ72" s="2807"/>
      <c r="BA72" s="2807"/>
      <c r="BB72" s="2807"/>
      <c r="BC72" s="2808"/>
      <c r="BD72" s="1528"/>
      <c r="BE72" s="1534"/>
    </row>
    <row r="73" spans="1:57" ht="15.75" customHeight="1">
      <c r="A73" s="1817"/>
      <c r="B73" s="2722"/>
      <c r="C73" s="2720"/>
      <c r="D73" s="2720"/>
      <c r="E73" s="2720"/>
      <c r="F73" s="2720"/>
      <c r="G73" s="2720"/>
      <c r="H73" s="2720"/>
      <c r="I73" s="2720"/>
      <c r="J73" s="2720"/>
      <c r="K73" s="2720"/>
      <c r="L73" s="2720"/>
      <c r="M73" s="2720"/>
      <c r="N73" s="2720"/>
      <c r="O73" s="2791"/>
      <c r="P73" s="2791"/>
      <c r="Q73" s="2791"/>
      <c r="R73" s="2791"/>
      <c r="S73" s="2791"/>
      <c r="T73" s="2791"/>
      <c r="U73" s="2791"/>
      <c r="V73" s="2791"/>
      <c r="W73" s="2791"/>
      <c r="X73" s="2791"/>
      <c r="Y73" s="2791"/>
      <c r="Z73" s="2791"/>
      <c r="AA73" s="2792"/>
      <c r="AB73" s="1528"/>
      <c r="AC73" s="2722"/>
      <c r="AD73" s="2720"/>
      <c r="AE73" s="2720"/>
      <c r="AF73" s="2720"/>
      <c r="AG73" s="2720"/>
      <c r="AH73" s="2720"/>
      <c r="AI73" s="2720"/>
      <c r="AJ73" s="2720"/>
      <c r="AK73" s="2720"/>
      <c r="AL73" s="2720"/>
      <c r="AM73" s="2720"/>
      <c r="AN73" s="2720"/>
      <c r="AO73" s="2720"/>
      <c r="AP73" s="2720"/>
      <c r="AQ73" s="2720"/>
      <c r="AR73" s="2720"/>
      <c r="AS73" s="2720"/>
      <c r="AT73" s="2720"/>
      <c r="AU73" s="2720"/>
      <c r="AV73" s="2720"/>
      <c r="AW73" s="2720"/>
      <c r="AX73" s="2720"/>
      <c r="AY73" s="2720"/>
      <c r="AZ73" s="2720"/>
      <c r="BA73" s="2720"/>
      <c r="BB73" s="2720"/>
      <c r="BC73" s="2721"/>
      <c r="BD73" s="1528"/>
      <c r="BE73" s="1534"/>
    </row>
    <row r="74" spans="1:57" ht="15.75" customHeight="1" thickBot="1">
      <c r="A74" s="1817"/>
      <c r="B74" s="2722"/>
      <c r="C74" s="2720"/>
      <c r="D74" s="2720"/>
      <c r="E74" s="2720"/>
      <c r="F74" s="2720"/>
      <c r="G74" s="2720"/>
      <c r="H74" s="2720"/>
      <c r="I74" s="2720"/>
      <c r="J74" s="2720"/>
      <c r="K74" s="2720"/>
      <c r="L74" s="2720"/>
      <c r="M74" s="2720"/>
      <c r="N74" s="2720"/>
      <c r="O74" s="2809"/>
      <c r="P74" s="2809"/>
      <c r="Q74" s="2809"/>
      <c r="R74" s="2809"/>
      <c r="S74" s="2809"/>
      <c r="T74" s="2809"/>
      <c r="U74" s="2809"/>
      <c r="V74" s="2809"/>
      <c r="W74" s="2809"/>
      <c r="X74" s="2809"/>
      <c r="Y74" s="2809"/>
      <c r="Z74" s="2809"/>
      <c r="AA74" s="2810"/>
      <c r="AB74" s="1528"/>
      <c r="AC74" s="2722"/>
      <c r="AD74" s="2720"/>
      <c r="AE74" s="2720"/>
      <c r="AF74" s="2720"/>
      <c r="AG74" s="2720"/>
      <c r="AH74" s="2720"/>
      <c r="AI74" s="2720"/>
      <c r="AJ74" s="2720"/>
      <c r="AK74" s="2720"/>
      <c r="AL74" s="2720"/>
      <c r="AM74" s="2720"/>
      <c r="AN74" s="2720"/>
      <c r="AO74" s="2720"/>
      <c r="AP74" s="2720"/>
      <c r="AQ74" s="2720"/>
      <c r="AR74" s="2720"/>
      <c r="AS74" s="2720"/>
      <c r="AT74" s="2720"/>
      <c r="AU74" s="2720"/>
      <c r="AV74" s="2720"/>
      <c r="AW74" s="2720"/>
      <c r="AX74" s="2720"/>
      <c r="AY74" s="2720"/>
      <c r="AZ74" s="2720"/>
      <c r="BA74" s="2720"/>
      <c r="BB74" s="2720"/>
      <c r="BC74" s="2721"/>
      <c r="BD74" s="1528"/>
      <c r="BE74" s="1534"/>
    </row>
    <row r="75" spans="1:57" ht="15.75" customHeight="1" thickTop="1" thickBot="1">
      <c r="A75" s="1817"/>
      <c r="B75" s="2811" t="s">
        <v>129</v>
      </c>
      <c r="C75" s="2812"/>
      <c r="D75" s="2812"/>
      <c r="E75" s="2812"/>
      <c r="F75" s="2812"/>
      <c r="G75" s="2812"/>
      <c r="H75" s="2812"/>
      <c r="I75" s="2812"/>
      <c r="J75" s="2812"/>
      <c r="K75" s="2812"/>
      <c r="L75" s="2812"/>
      <c r="M75" s="2812"/>
      <c r="N75" s="2812"/>
      <c r="O75" s="2813">
        <f>SUM(O70:AA74)</f>
        <v>0</v>
      </c>
      <c r="P75" s="2814"/>
      <c r="Q75" s="2814"/>
      <c r="R75" s="2814"/>
      <c r="S75" s="2814"/>
      <c r="T75" s="2814"/>
      <c r="U75" s="2814"/>
      <c r="V75" s="2814"/>
      <c r="W75" s="2814"/>
      <c r="X75" s="2814"/>
      <c r="Y75" s="2814"/>
      <c r="Z75" s="2814"/>
      <c r="AA75" s="2815"/>
      <c r="AB75" s="1528"/>
      <c r="AC75" s="2722"/>
      <c r="AD75" s="2720"/>
      <c r="AE75" s="2720"/>
      <c r="AF75" s="2720"/>
      <c r="AG75" s="2720"/>
      <c r="AH75" s="2720"/>
      <c r="AI75" s="2720"/>
      <c r="AJ75" s="2720"/>
      <c r="AK75" s="2720"/>
      <c r="AL75" s="2720"/>
      <c r="AM75" s="2720"/>
      <c r="AN75" s="2720"/>
      <c r="AO75" s="2720"/>
      <c r="AP75" s="2720"/>
      <c r="AQ75" s="2720"/>
      <c r="AR75" s="2720"/>
      <c r="AS75" s="2720"/>
      <c r="AT75" s="2720"/>
      <c r="AU75" s="2720"/>
      <c r="AV75" s="2720"/>
      <c r="AW75" s="2720"/>
      <c r="AX75" s="2720"/>
      <c r="AY75" s="2720"/>
      <c r="AZ75" s="2720"/>
      <c r="BA75" s="2720"/>
      <c r="BB75" s="2720"/>
      <c r="BC75" s="2721"/>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22"/>
      <c r="AD76" s="2720"/>
      <c r="AE76" s="2720"/>
      <c r="AF76" s="2720"/>
      <c r="AG76" s="2720"/>
      <c r="AH76" s="2720"/>
      <c r="AI76" s="2720"/>
      <c r="AJ76" s="2720"/>
      <c r="AK76" s="2720"/>
      <c r="AL76" s="2720"/>
      <c r="AM76" s="2720"/>
      <c r="AN76" s="2720"/>
      <c r="AO76" s="2720"/>
      <c r="AP76" s="2720"/>
      <c r="AQ76" s="2720"/>
      <c r="AR76" s="2720"/>
      <c r="AS76" s="2720"/>
      <c r="AT76" s="2720"/>
      <c r="AU76" s="2720"/>
      <c r="AV76" s="2720"/>
      <c r="AW76" s="2720"/>
      <c r="AX76" s="2720"/>
      <c r="AY76" s="2720"/>
      <c r="AZ76" s="2720"/>
      <c r="BA76" s="2720"/>
      <c r="BB76" s="2720"/>
      <c r="BC76" s="2721"/>
      <c r="BD76" s="1528"/>
      <c r="BE76" s="1534"/>
    </row>
    <row r="77" spans="1:57" ht="15.75" customHeight="1" thickBot="1">
      <c r="A77" s="1817"/>
      <c r="B77" s="1539" t="s">
        <v>2087</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39"/>
      <c r="AD77" s="2737"/>
      <c r="AE77" s="2737"/>
      <c r="AF77" s="2737"/>
      <c r="AG77" s="2737"/>
      <c r="AH77" s="2737"/>
      <c r="AI77" s="2737"/>
      <c r="AJ77" s="2737"/>
      <c r="AK77" s="2737"/>
      <c r="AL77" s="2737"/>
      <c r="AM77" s="2737"/>
      <c r="AN77" s="2737"/>
      <c r="AO77" s="2737"/>
      <c r="AP77" s="2737"/>
      <c r="AQ77" s="2737"/>
      <c r="AR77" s="2737"/>
      <c r="AS77" s="2737"/>
      <c r="AT77" s="2737"/>
      <c r="AU77" s="2737"/>
      <c r="AV77" s="2737"/>
      <c r="AW77" s="2737"/>
      <c r="AX77" s="2737"/>
      <c r="AY77" s="2737"/>
      <c r="AZ77" s="2737"/>
      <c r="BA77" s="2737"/>
      <c r="BB77" s="2737"/>
      <c r="BC77" s="2738"/>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11" t="s">
        <v>2088</v>
      </c>
      <c r="C79" s="2612"/>
      <c r="D79" s="2612"/>
      <c r="E79" s="2612"/>
      <c r="F79" s="2612"/>
      <c r="G79" s="2612"/>
      <c r="H79" s="2612"/>
      <c r="I79" s="2612"/>
      <c r="J79" s="2612"/>
      <c r="K79" s="2612"/>
      <c r="L79" s="2612"/>
      <c r="M79" s="2612"/>
      <c r="N79" s="2612"/>
      <c r="O79" s="2612"/>
      <c r="P79" s="2612"/>
      <c r="Q79" s="2612"/>
      <c r="R79" s="2612"/>
      <c r="S79" s="2612"/>
      <c r="T79" s="2612"/>
      <c r="U79" s="2612"/>
      <c r="V79" s="2612"/>
      <c r="W79" s="2612"/>
      <c r="X79" s="2612"/>
      <c r="Y79" s="2612"/>
      <c r="Z79" s="2612"/>
      <c r="AA79" s="2612"/>
      <c r="AB79" s="2801"/>
      <c r="AC79" s="2801"/>
      <c r="AD79" s="2801"/>
      <c r="AE79" s="2801"/>
      <c r="AF79" s="2801"/>
      <c r="AG79" s="2802"/>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11"/>
      <c r="C80" s="2612"/>
      <c r="D80" s="2612"/>
      <c r="E80" s="2612"/>
      <c r="F80" s="2612"/>
      <c r="G80" s="2612"/>
      <c r="H80" s="2613"/>
      <c r="I80" s="2803" t="s">
        <v>2089</v>
      </c>
      <c r="J80" s="2804"/>
      <c r="K80" s="2804"/>
      <c r="L80" s="2804"/>
      <c r="M80" s="2804"/>
      <c r="N80" s="2805"/>
      <c r="O80" s="2803" t="s">
        <v>2090</v>
      </c>
      <c r="P80" s="2804"/>
      <c r="Q80" s="2804"/>
      <c r="R80" s="2804"/>
      <c r="S80" s="2804"/>
      <c r="T80" s="2804"/>
      <c r="U80" s="2805"/>
      <c r="V80" s="2803" t="s">
        <v>2091</v>
      </c>
      <c r="W80" s="2804"/>
      <c r="X80" s="2804"/>
      <c r="Y80" s="2804"/>
      <c r="Z80" s="2804"/>
      <c r="AA80" s="2805"/>
      <c r="AB80" s="2803" t="s">
        <v>2092</v>
      </c>
      <c r="AC80" s="2804"/>
      <c r="AD80" s="2804"/>
      <c r="AE80" s="2804"/>
      <c r="AF80" s="2804"/>
      <c r="AG80" s="2805"/>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03" t="s">
        <v>2093</v>
      </c>
      <c r="C81" s="2804"/>
      <c r="D81" s="2804"/>
      <c r="E81" s="2804"/>
      <c r="F81" s="2804"/>
      <c r="G81" s="2804"/>
      <c r="H81" s="2805"/>
      <c r="I81" s="2822"/>
      <c r="J81" s="2823"/>
      <c r="K81" s="2823"/>
      <c r="L81" s="2823"/>
      <c r="M81" s="2823"/>
      <c r="N81" s="2823"/>
      <c r="O81" s="2823"/>
      <c r="P81" s="2823"/>
      <c r="Q81" s="2823"/>
      <c r="R81" s="2823"/>
      <c r="S81" s="2823"/>
      <c r="T81" s="2823"/>
      <c r="U81" s="2823"/>
      <c r="V81" s="2823"/>
      <c r="W81" s="2823"/>
      <c r="X81" s="2823"/>
      <c r="Y81" s="2823"/>
      <c r="Z81" s="2823"/>
      <c r="AA81" s="2824"/>
      <c r="AB81" s="2823"/>
      <c r="AC81" s="2823"/>
      <c r="AD81" s="2823"/>
      <c r="AE81" s="2823"/>
      <c r="AF81" s="2823"/>
      <c r="AG81" s="2824"/>
      <c r="AH81" s="1528"/>
      <c r="AI81" s="1528"/>
      <c r="AJ81" s="1528"/>
      <c r="AK81" s="1528" t="s">
        <v>255</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03" t="s">
        <v>2094</v>
      </c>
      <c r="C82" s="2804"/>
      <c r="D82" s="2804"/>
      <c r="E82" s="2804"/>
      <c r="F82" s="2804"/>
      <c r="G82" s="2804"/>
      <c r="H82" s="2805"/>
      <c r="I82" s="2825"/>
      <c r="J82" s="2826"/>
      <c r="K82" s="2826"/>
      <c r="L82" s="2826"/>
      <c r="M82" s="2826"/>
      <c r="N82" s="2826"/>
      <c r="O82" s="2826"/>
      <c r="P82" s="2826"/>
      <c r="Q82" s="2826"/>
      <c r="R82" s="2826"/>
      <c r="S82" s="2826"/>
      <c r="T82" s="2826"/>
      <c r="U82" s="2826"/>
      <c r="V82" s="2826"/>
      <c r="W82" s="2826"/>
      <c r="X82" s="2826"/>
      <c r="Y82" s="2826"/>
      <c r="Z82" s="2826"/>
      <c r="AA82" s="2827"/>
      <c r="AB82" s="2826"/>
      <c r="AC82" s="2826"/>
      <c r="AD82" s="2826"/>
      <c r="AE82" s="2826"/>
      <c r="AF82" s="2826"/>
      <c r="AG82" s="2827"/>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2095</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16" t="s">
        <v>2096</v>
      </c>
      <c r="C86" s="2817"/>
      <c r="D86" s="2817"/>
      <c r="E86" s="2817"/>
      <c r="F86" s="2817"/>
      <c r="G86" s="2817"/>
      <c r="H86" s="2817"/>
      <c r="I86" s="2817"/>
      <c r="J86" s="2817"/>
      <c r="K86" s="2817"/>
      <c r="L86" s="2817"/>
      <c r="M86" s="2817"/>
      <c r="N86" s="2817"/>
      <c r="O86" s="2817"/>
      <c r="P86" s="2817"/>
      <c r="Q86" s="2817"/>
      <c r="R86" s="2817"/>
      <c r="S86" s="2817"/>
      <c r="T86" s="2817"/>
      <c r="U86" s="2817"/>
      <c r="V86" s="2817"/>
      <c r="W86" s="2817"/>
      <c r="X86" s="2817"/>
      <c r="Y86" s="2817"/>
      <c r="Z86" s="2817"/>
      <c r="AA86" s="2817"/>
      <c r="AB86" s="2817"/>
      <c r="AC86" s="2817"/>
      <c r="AD86" s="2817"/>
      <c r="AE86" s="2817"/>
      <c r="AF86" s="2817"/>
      <c r="AG86" s="2817"/>
      <c r="AH86" s="2818"/>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11"/>
      <c r="C87" s="2612"/>
      <c r="D87" s="2612"/>
      <c r="E87" s="2612"/>
      <c r="F87" s="2612"/>
      <c r="G87" s="2612"/>
      <c r="H87" s="2613"/>
      <c r="I87" s="2803" t="s">
        <v>2089</v>
      </c>
      <c r="J87" s="2804"/>
      <c r="K87" s="2804"/>
      <c r="L87" s="2804"/>
      <c r="M87" s="2804"/>
      <c r="N87" s="2805"/>
      <c r="O87" s="2803" t="s">
        <v>2090</v>
      </c>
      <c r="P87" s="2804"/>
      <c r="Q87" s="2804"/>
      <c r="R87" s="2804"/>
      <c r="S87" s="2804"/>
      <c r="T87" s="2804"/>
      <c r="U87" s="2805"/>
      <c r="V87" s="2803" t="s">
        <v>2091</v>
      </c>
      <c r="W87" s="2804"/>
      <c r="X87" s="2804"/>
      <c r="Y87" s="2804"/>
      <c r="Z87" s="2804"/>
      <c r="AA87" s="2805"/>
      <c r="AB87" s="2819" t="s">
        <v>2092</v>
      </c>
      <c r="AC87" s="2820"/>
      <c r="AD87" s="2820"/>
      <c r="AE87" s="2820"/>
      <c r="AF87" s="2820"/>
      <c r="AG87" s="2820"/>
      <c r="AH87" s="2821"/>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03" t="s">
        <v>2093</v>
      </c>
      <c r="C88" s="2804"/>
      <c r="D88" s="2804"/>
      <c r="E88" s="2804"/>
      <c r="F88" s="2804"/>
      <c r="G88" s="2804"/>
      <c r="H88" s="2805"/>
      <c r="I88" s="2822"/>
      <c r="J88" s="2823"/>
      <c r="K88" s="2823"/>
      <c r="L88" s="2823"/>
      <c r="M88" s="2823"/>
      <c r="N88" s="2823"/>
      <c r="O88" s="2823"/>
      <c r="P88" s="2823"/>
      <c r="Q88" s="2823"/>
      <c r="R88" s="2823"/>
      <c r="S88" s="2823"/>
      <c r="T88" s="2823"/>
      <c r="U88" s="2823"/>
      <c r="V88" s="2823"/>
      <c r="W88" s="2823"/>
      <c r="X88" s="2823"/>
      <c r="Y88" s="2823"/>
      <c r="Z88" s="2823"/>
      <c r="AA88" s="2828"/>
      <c r="AB88" s="2795"/>
      <c r="AC88" s="2795"/>
      <c r="AD88" s="2795"/>
      <c r="AE88" s="2795"/>
      <c r="AF88" s="2795"/>
      <c r="AG88" s="2795"/>
      <c r="AH88" s="2796"/>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03" t="s">
        <v>2094</v>
      </c>
      <c r="C89" s="2804"/>
      <c r="D89" s="2804"/>
      <c r="E89" s="2804"/>
      <c r="F89" s="2804"/>
      <c r="G89" s="2804"/>
      <c r="H89" s="2805"/>
      <c r="I89" s="2825"/>
      <c r="J89" s="2826"/>
      <c r="K89" s="2826"/>
      <c r="L89" s="2826"/>
      <c r="M89" s="2826"/>
      <c r="N89" s="2826"/>
      <c r="O89" s="2826"/>
      <c r="P89" s="2826"/>
      <c r="Q89" s="2826"/>
      <c r="R89" s="2826"/>
      <c r="S89" s="2826"/>
      <c r="T89" s="2826"/>
      <c r="U89" s="2826"/>
      <c r="V89" s="2826"/>
      <c r="W89" s="2826"/>
      <c r="X89" s="2826"/>
      <c r="Y89" s="2826"/>
      <c r="Z89" s="2826"/>
      <c r="AA89" s="2829"/>
      <c r="AB89" s="2737"/>
      <c r="AC89" s="2737"/>
      <c r="AD89" s="2737"/>
      <c r="AE89" s="2737"/>
      <c r="AF89" s="2737"/>
      <c r="AG89" s="2737"/>
      <c r="AH89" s="2738"/>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2097</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11" t="s">
        <v>2098</v>
      </c>
      <c r="C93" s="2612"/>
      <c r="D93" s="2612"/>
      <c r="E93" s="2612"/>
      <c r="F93" s="2612"/>
      <c r="G93" s="2612"/>
      <c r="H93" s="2612"/>
      <c r="I93" s="2612"/>
      <c r="J93" s="2612"/>
      <c r="K93" s="2612"/>
      <c r="L93" s="2612"/>
      <c r="M93" s="2612"/>
      <c r="N93" s="2612"/>
      <c r="O93" s="2612"/>
      <c r="P93" s="2612"/>
      <c r="Q93" s="2612"/>
      <c r="R93" s="2612"/>
      <c r="S93" s="2612"/>
      <c r="T93" s="2612"/>
      <c r="U93" s="2612"/>
      <c r="V93" s="2612"/>
      <c r="W93" s="2612"/>
      <c r="X93" s="2612"/>
      <c r="Y93" s="2612"/>
      <c r="Z93" s="2612"/>
      <c r="AA93" s="2612"/>
      <c r="AB93" s="2612"/>
      <c r="AC93" s="2612"/>
      <c r="AD93" s="2612"/>
      <c r="AE93" s="2612"/>
      <c r="AF93" s="2612"/>
      <c r="AG93" s="2612"/>
      <c r="AH93" s="2613"/>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11"/>
      <c r="C94" s="2612"/>
      <c r="D94" s="2612"/>
      <c r="E94" s="2612"/>
      <c r="F94" s="2612"/>
      <c r="G94" s="2612"/>
      <c r="H94" s="2613"/>
      <c r="I94" s="2803" t="s">
        <v>2089</v>
      </c>
      <c r="J94" s="2804"/>
      <c r="K94" s="2804"/>
      <c r="L94" s="2804"/>
      <c r="M94" s="2804"/>
      <c r="N94" s="2805"/>
      <c r="O94" s="2803" t="s">
        <v>2090</v>
      </c>
      <c r="P94" s="2804"/>
      <c r="Q94" s="2804"/>
      <c r="R94" s="2804"/>
      <c r="S94" s="2804"/>
      <c r="T94" s="2804"/>
      <c r="U94" s="2805"/>
      <c r="V94" s="2803" t="s">
        <v>2091</v>
      </c>
      <c r="W94" s="2804"/>
      <c r="X94" s="2804"/>
      <c r="Y94" s="2804"/>
      <c r="Z94" s="2804"/>
      <c r="AA94" s="2805"/>
      <c r="AB94" s="2819" t="s">
        <v>2092</v>
      </c>
      <c r="AC94" s="2820"/>
      <c r="AD94" s="2820"/>
      <c r="AE94" s="2820"/>
      <c r="AF94" s="2820"/>
      <c r="AG94" s="2820"/>
      <c r="AH94" s="2821"/>
      <c r="AI94" s="1528"/>
      <c r="AJ94" s="1528"/>
      <c r="AK94" s="1528"/>
      <c r="AL94" s="1528" t="s">
        <v>255</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03" t="s">
        <v>2093</v>
      </c>
      <c r="C95" s="2804"/>
      <c r="D95" s="2804"/>
      <c r="E95" s="2804"/>
      <c r="F95" s="2804"/>
      <c r="G95" s="2804"/>
      <c r="H95" s="2805"/>
      <c r="I95" s="2822"/>
      <c r="J95" s="2823"/>
      <c r="K95" s="2823"/>
      <c r="L95" s="2823"/>
      <c r="M95" s="2823"/>
      <c r="N95" s="2823"/>
      <c r="O95" s="2823"/>
      <c r="P95" s="2823"/>
      <c r="Q95" s="2823"/>
      <c r="R95" s="2823"/>
      <c r="S95" s="2823"/>
      <c r="T95" s="2823"/>
      <c r="U95" s="2823"/>
      <c r="V95" s="2823"/>
      <c r="W95" s="2823"/>
      <c r="X95" s="2823"/>
      <c r="Y95" s="2823"/>
      <c r="Z95" s="2823"/>
      <c r="AA95" s="2824"/>
      <c r="AB95" s="2795"/>
      <c r="AC95" s="2795"/>
      <c r="AD95" s="2795"/>
      <c r="AE95" s="2795"/>
      <c r="AF95" s="2795"/>
      <c r="AG95" s="2795"/>
      <c r="AH95" s="2796"/>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03" t="s">
        <v>2094</v>
      </c>
      <c r="C96" s="2804"/>
      <c r="D96" s="2804"/>
      <c r="E96" s="2804"/>
      <c r="F96" s="2804"/>
      <c r="G96" s="2804"/>
      <c r="H96" s="2805"/>
      <c r="I96" s="2825"/>
      <c r="J96" s="2826"/>
      <c r="K96" s="2826"/>
      <c r="L96" s="2826"/>
      <c r="M96" s="2826"/>
      <c r="N96" s="2826"/>
      <c r="O96" s="2826"/>
      <c r="P96" s="2826"/>
      <c r="Q96" s="2826"/>
      <c r="R96" s="2826"/>
      <c r="S96" s="2826"/>
      <c r="T96" s="2826"/>
      <c r="U96" s="2826"/>
      <c r="V96" s="2826"/>
      <c r="W96" s="2826"/>
      <c r="X96" s="2826"/>
      <c r="Y96" s="2826"/>
      <c r="Z96" s="2826"/>
      <c r="AA96" s="2827"/>
      <c r="AB96" s="2737"/>
      <c r="AC96" s="2737"/>
      <c r="AD96" s="2737"/>
      <c r="AE96" s="2737"/>
      <c r="AF96" s="2737"/>
      <c r="AG96" s="2737"/>
      <c r="AH96" s="2738"/>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2099</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40" t="s">
        <v>2100</v>
      </c>
      <c r="C100" s="2641"/>
      <c r="D100" s="2641"/>
      <c r="E100" s="2641"/>
      <c r="F100" s="2641"/>
      <c r="G100" s="2641"/>
      <c r="H100" s="2641"/>
      <c r="I100" s="2641"/>
      <c r="J100" s="2641"/>
      <c r="K100" s="2641"/>
      <c r="L100" s="2641"/>
      <c r="M100" s="2641"/>
      <c r="N100" s="2641"/>
      <c r="O100" s="2641"/>
      <c r="P100" s="2641"/>
      <c r="Q100" s="2641"/>
      <c r="R100" s="2641"/>
      <c r="S100" s="2641"/>
      <c r="T100" s="2641"/>
      <c r="U100" s="2844"/>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45"/>
      <c r="C101" s="2846"/>
      <c r="D101" s="2846"/>
      <c r="E101" s="2846"/>
      <c r="F101" s="2846"/>
      <c r="G101" s="2846"/>
      <c r="H101" s="2847"/>
      <c r="I101" s="2777" t="s">
        <v>2090</v>
      </c>
      <c r="J101" s="2778"/>
      <c r="K101" s="2778"/>
      <c r="L101" s="2778"/>
      <c r="M101" s="2778"/>
      <c r="N101" s="2778"/>
      <c r="O101" s="2848"/>
      <c r="P101" s="2777" t="s">
        <v>2101</v>
      </c>
      <c r="Q101" s="2778"/>
      <c r="R101" s="2778"/>
      <c r="S101" s="2778"/>
      <c r="T101" s="2778"/>
      <c r="U101" s="2848"/>
      <c r="V101" s="1528"/>
      <c r="W101" s="1528"/>
      <c r="X101" s="1528"/>
      <c r="Y101" s="1528"/>
      <c r="Z101" s="1528"/>
      <c r="AA101" s="1528"/>
      <c r="AB101" s="1528" t="s">
        <v>255</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49" t="s">
        <v>2093</v>
      </c>
      <c r="C102" s="2850"/>
      <c r="D102" s="2850"/>
      <c r="E102" s="2850"/>
      <c r="F102" s="2850"/>
      <c r="G102" s="2850"/>
      <c r="H102" s="2850"/>
      <c r="I102" s="2830"/>
      <c r="J102" s="2831"/>
      <c r="K102" s="2831"/>
      <c r="L102" s="2831"/>
      <c r="M102" s="2831"/>
      <c r="N102" s="2831"/>
      <c r="O102" s="2832"/>
      <c r="P102" s="2830"/>
      <c r="Q102" s="2831"/>
      <c r="R102" s="2831"/>
      <c r="S102" s="2831"/>
      <c r="T102" s="2831"/>
      <c r="U102" s="2832"/>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80" t="s">
        <v>2094</v>
      </c>
      <c r="C103" s="2781"/>
      <c r="D103" s="2781"/>
      <c r="E103" s="2781"/>
      <c r="F103" s="2781"/>
      <c r="G103" s="2781"/>
      <c r="H103" s="2781"/>
      <c r="I103" s="2830"/>
      <c r="J103" s="2831"/>
      <c r="K103" s="2831"/>
      <c r="L103" s="2831"/>
      <c r="M103" s="2831"/>
      <c r="N103" s="2831"/>
      <c r="O103" s="2832"/>
      <c r="P103" s="2830"/>
      <c r="Q103" s="2831"/>
      <c r="R103" s="2831"/>
      <c r="S103" s="2831"/>
      <c r="T103" s="2831"/>
      <c r="U103" s="2832"/>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33" t="s">
        <v>2102</v>
      </c>
      <c r="C105" s="2834"/>
      <c r="D105" s="2834"/>
      <c r="E105" s="2834"/>
      <c r="F105" s="2834"/>
      <c r="G105" s="2834"/>
      <c r="H105" s="2834"/>
      <c r="I105" s="2834"/>
      <c r="J105" s="2834"/>
      <c r="K105" s="2834"/>
      <c r="L105" s="2834"/>
      <c r="M105" s="2834"/>
      <c r="N105" s="2834"/>
      <c r="O105" s="2834"/>
      <c r="P105" s="2834"/>
      <c r="Q105" s="2834"/>
      <c r="R105" s="2835"/>
      <c r="S105" s="2835"/>
      <c r="T105" s="2835"/>
      <c r="U105" s="2835"/>
      <c r="V105" s="2835"/>
      <c r="W105" s="2835"/>
      <c r="X105" s="2835"/>
      <c r="Y105" s="2835"/>
      <c r="Z105" s="2835"/>
      <c r="AA105" s="2835"/>
      <c r="AB105" s="2835"/>
      <c r="AC105" s="2835"/>
      <c r="AD105" s="2835"/>
      <c r="AE105" s="2835"/>
      <c r="AF105" s="2835"/>
      <c r="AG105" s="2836" t="s">
        <v>2036</v>
      </c>
      <c r="AH105" s="2836"/>
      <c r="AI105" s="2836"/>
      <c r="AJ105" s="2837"/>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38" t="s">
        <v>2103</v>
      </c>
      <c r="C106" s="2839"/>
      <c r="D106" s="2839"/>
      <c r="E106" s="2839"/>
      <c r="F106" s="2839"/>
      <c r="G106" s="2839"/>
      <c r="H106" s="2839"/>
      <c r="I106" s="2839"/>
      <c r="J106" s="2839"/>
      <c r="K106" s="2839"/>
      <c r="L106" s="2839"/>
      <c r="M106" s="2839"/>
      <c r="N106" s="2839"/>
      <c r="O106" s="2839"/>
      <c r="P106" s="2839"/>
      <c r="Q106" s="2840"/>
      <c r="R106" s="2841" t="s">
        <v>2104</v>
      </c>
      <c r="S106" s="2842"/>
      <c r="T106" s="2842"/>
      <c r="U106" s="2842"/>
      <c r="V106" s="2842"/>
      <c r="W106" s="2842"/>
      <c r="X106" s="2842"/>
      <c r="Y106" s="2842"/>
      <c r="Z106" s="2842"/>
      <c r="AA106" s="2842"/>
      <c r="AB106" s="2842"/>
      <c r="AC106" s="2842"/>
      <c r="AD106" s="2842"/>
      <c r="AE106" s="2842"/>
      <c r="AF106" s="2842"/>
      <c r="AG106" s="2842"/>
      <c r="AH106" s="2842"/>
      <c r="AI106" s="2842"/>
      <c r="AJ106" s="2842"/>
      <c r="AK106" s="2842"/>
      <c r="AL106" s="2842"/>
      <c r="AM106" s="2842"/>
      <c r="AN106" s="2842"/>
      <c r="AO106" s="2842"/>
      <c r="AP106" s="2842"/>
      <c r="AQ106" s="2842"/>
      <c r="AR106" s="2842"/>
      <c r="AS106" s="2842"/>
      <c r="AT106" s="2842"/>
      <c r="AU106" s="2842"/>
      <c r="AV106" s="2842"/>
      <c r="AW106" s="2842"/>
      <c r="AX106" s="2843"/>
      <c r="AY106" s="1528"/>
      <c r="AZ106" s="1528"/>
      <c r="BA106" s="1528"/>
      <c r="BB106" s="1528"/>
      <c r="BC106" s="1528"/>
      <c r="BD106" s="1528"/>
      <c r="BE106" s="1534"/>
    </row>
    <row r="107" spans="1:57" ht="15.75" customHeight="1">
      <c r="A107" s="1817"/>
      <c r="B107" s="2864" t="s">
        <v>2105</v>
      </c>
      <c r="C107" s="2865"/>
      <c r="D107" s="2865"/>
      <c r="E107" s="2865"/>
      <c r="F107" s="2865"/>
      <c r="G107" s="2865"/>
      <c r="H107" s="2865"/>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65"/>
      <c r="AD107" s="2865"/>
      <c r="AE107" s="2865"/>
      <c r="AF107" s="2865"/>
      <c r="AG107" s="2865"/>
      <c r="AH107" s="2865"/>
      <c r="AI107" s="2865"/>
      <c r="AJ107" s="2865"/>
      <c r="AK107" s="2865"/>
      <c r="AL107" s="2865"/>
      <c r="AM107" s="2865"/>
      <c r="AN107" s="2865"/>
      <c r="AO107" s="2865"/>
      <c r="AP107" s="2865"/>
      <c r="AQ107" s="2865"/>
      <c r="AR107" s="2865"/>
      <c r="AS107" s="2865"/>
      <c r="AT107" s="2865"/>
      <c r="AU107" s="2865"/>
      <c r="AV107" s="2865"/>
      <c r="AW107" s="2865"/>
      <c r="AX107" s="2866"/>
      <c r="AY107" s="1528"/>
      <c r="AZ107" s="1528"/>
      <c r="BA107" s="1528"/>
      <c r="BB107" s="1528"/>
      <c r="BC107" s="1528"/>
      <c r="BD107" s="1528"/>
      <c r="BE107" s="1534"/>
    </row>
    <row r="108" spans="1:57" ht="15.75" customHeight="1">
      <c r="A108" s="1817"/>
      <c r="B108" s="2867"/>
      <c r="C108" s="2868"/>
      <c r="D108" s="2868"/>
      <c r="E108" s="2868"/>
      <c r="F108" s="2868"/>
      <c r="G108" s="2868"/>
      <c r="H108" s="2868"/>
      <c r="I108" s="2868"/>
      <c r="J108" s="2868"/>
      <c r="K108" s="2868"/>
      <c r="L108" s="2868"/>
      <c r="M108" s="2868"/>
      <c r="N108" s="2868"/>
      <c r="O108" s="2868"/>
      <c r="P108" s="2868"/>
      <c r="Q108" s="2868"/>
      <c r="R108" s="2868"/>
      <c r="S108" s="2868"/>
      <c r="T108" s="2868"/>
      <c r="U108" s="2868"/>
      <c r="V108" s="2868"/>
      <c r="W108" s="2868"/>
      <c r="X108" s="2868"/>
      <c r="Y108" s="2868"/>
      <c r="Z108" s="2868"/>
      <c r="AA108" s="2868"/>
      <c r="AB108" s="2868"/>
      <c r="AC108" s="2868"/>
      <c r="AD108" s="2868"/>
      <c r="AE108" s="2868"/>
      <c r="AF108" s="2868"/>
      <c r="AG108" s="2868"/>
      <c r="AH108" s="2868"/>
      <c r="AI108" s="2868"/>
      <c r="AJ108" s="2868"/>
      <c r="AK108" s="2868"/>
      <c r="AL108" s="2868"/>
      <c r="AM108" s="2868"/>
      <c r="AN108" s="2868"/>
      <c r="AO108" s="2868"/>
      <c r="AP108" s="2868"/>
      <c r="AQ108" s="2868"/>
      <c r="AR108" s="2868"/>
      <c r="AS108" s="2868"/>
      <c r="AT108" s="2868"/>
      <c r="AU108" s="2868"/>
      <c r="AV108" s="2868"/>
      <c r="AW108" s="2868"/>
      <c r="AX108" s="2869"/>
      <c r="AY108" s="1528"/>
      <c r="AZ108" s="1528"/>
      <c r="BA108" s="1528"/>
      <c r="BB108" s="1528"/>
      <c r="BC108" s="1528"/>
      <c r="BD108" s="1528"/>
      <c r="BE108" s="1534"/>
    </row>
    <row r="109" spans="1:57" ht="15.75" customHeight="1">
      <c r="A109" s="1817"/>
      <c r="B109" s="2867"/>
      <c r="C109" s="2868"/>
      <c r="D109" s="2868"/>
      <c r="E109" s="2868"/>
      <c r="F109" s="2868"/>
      <c r="G109" s="2868"/>
      <c r="H109" s="2868"/>
      <c r="I109" s="2868"/>
      <c r="J109" s="2868"/>
      <c r="K109" s="2868"/>
      <c r="L109" s="2868"/>
      <c r="M109" s="2868"/>
      <c r="N109" s="2868"/>
      <c r="O109" s="2868"/>
      <c r="P109" s="2868"/>
      <c r="Q109" s="2868"/>
      <c r="R109" s="2868"/>
      <c r="S109" s="2868"/>
      <c r="T109" s="2868"/>
      <c r="U109" s="2868"/>
      <c r="V109" s="2868"/>
      <c r="W109" s="2868"/>
      <c r="X109" s="2868"/>
      <c r="Y109" s="2868"/>
      <c r="Z109" s="2868"/>
      <c r="AA109" s="2868"/>
      <c r="AB109" s="2868"/>
      <c r="AC109" s="2868"/>
      <c r="AD109" s="2868"/>
      <c r="AE109" s="2868"/>
      <c r="AF109" s="2868"/>
      <c r="AG109" s="2868"/>
      <c r="AH109" s="2868"/>
      <c r="AI109" s="2868"/>
      <c r="AJ109" s="2868"/>
      <c r="AK109" s="2868"/>
      <c r="AL109" s="2868"/>
      <c r="AM109" s="2868"/>
      <c r="AN109" s="2868"/>
      <c r="AO109" s="2868"/>
      <c r="AP109" s="2868"/>
      <c r="AQ109" s="2868"/>
      <c r="AR109" s="2868"/>
      <c r="AS109" s="2868"/>
      <c r="AT109" s="2868"/>
      <c r="AU109" s="2868"/>
      <c r="AV109" s="2868"/>
      <c r="AW109" s="2868"/>
      <c r="AX109" s="2869"/>
      <c r="AY109" s="1528"/>
      <c r="AZ109" s="1528"/>
      <c r="BA109" s="1528"/>
      <c r="BB109" s="1528"/>
      <c r="BC109" s="1528"/>
      <c r="BD109" s="1528"/>
      <c r="BE109" s="1534"/>
    </row>
    <row r="110" spans="1:57" ht="15.75" customHeight="1">
      <c r="A110" s="1817"/>
      <c r="B110" s="2867"/>
      <c r="C110" s="2868"/>
      <c r="D110" s="2868"/>
      <c r="E110" s="2868"/>
      <c r="F110" s="2868"/>
      <c r="G110" s="2868"/>
      <c r="H110" s="2868"/>
      <c r="I110" s="2868"/>
      <c r="J110" s="2868"/>
      <c r="K110" s="2868"/>
      <c r="L110" s="2868"/>
      <c r="M110" s="2868"/>
      <c r="N110" s="2868"/>
      <c r="O110" s="2868"/>
      <c r="P110" s="2868"/>
      <c r="Q110" s="2868"/>
      <c r="R110" s="2868"/>
      <c r="S110" s="2868"/>
      <c r="T110" s="2868"/>
      <c r="U110" s="2868"/>
      <c r="V110" s="2868"/>
      <c r="W110" s="2868"/>
      <c r="X110" s="2868"/>
      <c r="Y110" s="2868"/>
      <c r="Z110" s="2868"/>
      <c r="AA110" s="2868"/>
      <c r="AB110" s="2868"/>
      <c r="AC110" s="2868"/>
      <c r="AD110" s="2868"/>
      <c r="AE110" s="2868"/>
      <c r="AF110" s="2868"/>
      <c r="AG110" s="2868"/>
      <c r="AH110" s="2868"/>
      <c r="AI110" s="2868"/>
      <c r="AJ110" s="2868"/>
      <c r="AK110" s="2868"/>
      <c r="AL110" s="2868"/>
      <c r="AM110" s="2868"/>
      <c r="AN110" s="2868"/>
      <c r="AO110" s="2868"/>
      <c r="AP110" s="2868"/>
      <c r="AQ110" s="2868"/>
      <c r="AR110" s="2868"/>
      <c r="AS110" s="2868"/>
      <c r="AT110" s="2868"/>
      <c r="AU110" s="2868"/>
      <c r="AV110" s="2868"/>
      <c r="AW110" s="2868"/>
      <c r="AX110" s="2869"/>
      <c r="AY110" s="1528"/>
      <c r="AZ110" s="1528"/>
      <c r="BA110" s="1528"/>
      <c r="BB110" s="1528"/>
      <c r="BC110" s="1528"/>
      <c r="BD110" s="1528"/>
      <c r="BE110" s="1534"/>
    </row>
    <row r="111" spans="1:57" ht="15.75" customHeight="1">
      <c r="A111" s="1817"/>
      <c r="B111" s="2867"/>
      <c r="C111" s="2868"/>
      <c r="D111" s="2868"/>
      <c r="E111" s="2868"/>
      <c r="F111" s="2868"/>
      <c r="G111" s="2868"/>
      <c r="H111" s="2868"/>
      <c r="I111" s="2868"/>
      <c r="J111" s="2868"/>
      <c r="K111" s="2868"/>
      <c r="L111" s="2868"/>
      <c r="M111" s="2868"/>
      <c r="N111" s="2868"/>
      <c r="O111" s="2868"/>
      <c r="P111" s="2868"/>
      <c r="Q111" s="2868"/>
      <c r="R111" s="2868"/>
      <c r="S111" s="2868"/>
      <c r="T111" s="2868"/>
      <c r="U111" s="2868"/>
      <c r="V111" s="2868"/>
      <c r="W111" s="2868"/>
      <c r="X111" s="2868"/>
      <c r="Y111" s="2868"/>
      <c r="Z111" s="2868"/>
      <c r="AA111" s="2868"/>
      <c r="AB111" s="2868"/>
      <c r="AC111" s="2868"/>
      <c r="AD111" s="2868"/>
      <c r="AE111" s="2868"/>
      <c r="AF111" s="2868"/>
      <c r="AG111" s="2868"/>
      <c r="AH111" s="2868"/>
      <c r="AI111" s="2868"/>
      <c r="AJ111" s="2868"/>
      <c r="AK111" s="2868"/>
      <c r="AL111" s="2868"/>
      <c r="AM111" s="2868"/>
      <c r="AN111" s="2868"/>
      <c r="AO111" s="2868"/>
      <c r="AP111" s="2868"/>
      <c r="AQ111" s="2868"/>
      <c r="AR111" s="2868"/>
      <c r="AS111" s="2868"/>
      <c r="AT111" s="2868"/>
      <c r="AU111" s="2868"/>
      <c r="AV111" s="2868"/>
      <c r="AW111" s="2868"/>
      <c r="AX111" s="2869"/>
      <c r="AY111" s="1528"/>
      <c r="AZ111" s="1528"/>
      <c r="BA111" s="1528"/>
      <c r="BB111" s="1528"/>
      <c r="BC111" s="1528"/>
      <c r="BD111" s="1528"/>
      <c r="BE111" s="1534"/>
    </row>
    <row r="112" spans="1:57" ht="15.75" customHeight="1">
      <c r="A112" s="1817"/>
      <c r="B112" s="2867"/>
      <c r="C112" s="2868"/>
      <c r="D112" s="2868"/>
      <c r="E112" s="2868"/>
      <c r="F112" s="2868"/>
      <c r="G112" s="2868"/>
      <c r="H112" s="2868"/>
      <c r="I112" s="2868"/>
      <c r="J112" s="2868"/>
      <c r="K112" s="2868"/>
      <c r="L112" s="2868"/>
      <c r="M112" s="2868"/>
      <c r="N112" s="2868"/>
      <c r="O112" s="2868"/>
      <c r="P112" s="2868"/>
      <c r="Q112" s="2868"/>
      <c r="R112" s="2868"/>
      <c r="S112" s="2868"/>
      <c r="T112" s="2868"/>
      <c r="U112" s="2868"/>
      <c r="V112" s="2868"/>
      <c r="W112" s="2868"/>
      <c r="X112" s="2868"/>
      <c r="Y112" s="2868"/>
      <c r="Z112" s="2868"/>
      <c r="AA112" s="2868"/>
      <c r="AB112" s="2868"/>
      <c r="AC112" s="2868"/>
      <c r="AD112" s="2868"/>
      <c r="AE112" s="2868"/>
      <c r="AF112" s="2868"/>
      <c r="AG112" s="2868"/>
      <c r="AH112" s="2868"/>
      <c r="AI112" s="2868"/>
      <c r="AJ112" s="2868"/>
      <c r="AK112" s="2868"/>
      <c r="AL112" s="2868"/>
      <c r="AM112" s="2868"/>
      <c r="AN112" s="2868"/>
      <c r="AO112" s="2868"/>
      <c r="AP112" s="2868"/>
      <c r="AQ112" s="2868"/>
      <c r="AR112" s="2868"/>
      <c r="AS112" s="2868"/>
      <c r="AT112" s="2868"/>
      <c r="AU112" s="2868"/>
      <c r="AV112" s="2868"/>
      <c r="AW112" s="2868"/>
      <c r="AX112" s="2869"/>
      <c r="AY112" s="1528"/>
      <c r="AZ112" s="1528"/>
      <c r="BA112" s="1528"/>
      <c r="BB112" s="1528"/>
      <c r="BC112" s="1528"/>
      <c r="BD112" s="1528"/>
      <c r="BE112" s="1534"/>
    </row>
    <row r="113" spans="1:57" ht="15.75" customHeight="1">
      <c r="A113" s="1817"/>
      <c r="B113" s="2867"/>
      <c r="C113" s="2868"/>
      <c r="D113" s="2868"/>
      <c r="E113" s="2868"/>
      <c r="F113" s="2868"/>
      <c r="G113" s="2868"/>
      <c r="H113" s="2868"/>
      <c r="I113" s="2868"/>
      <c r="J113" s="2868"/>
      <c r="K113" s="2868"/>
      <c r="L113" s="2868"/>
      <c r="M113" s="2868"/>
      <c r="N113" s="2868"/>
      <c r="O113" s="2868"/>
      <c r="P113" s="2868"/>
      <c r="Q113" s="2868"/>
      <c r="R113" s="2868"/>
      <c r="S113" s="2868"/>
      <c r="T113" s="2868"/>
      <c r="U113" s="2868"/>
      <c r="V113" s="2868"/>
      <c r="W113" s="2868"/>
      <c r="X113" s="2868"/>
      <c r="Y113" s="2868"/>
      <c r="Z113" s="2868"/>
      <c r="AA113" s="2868"/>
      <c r="AB113" s="2868"/>
      <c r="AC113" s="2868"/>
      <c r="AD113" s="2868"/>
      <c r="AE113" s="2868"/>
      <c r="AF113" s="2868"/>
      <c r="AG113" s="2868"/>
      <c r="AH113" s="2868"/>
      <c r="AI113" s="2868"/>
      <c r="AJ113" s="2868"/>
      <c r="AK113" s="2868"/>
      <c r="AL113" s="2868"/>
      <c r="AM113" s="2868"/>
      <c r="AN113" s="2868"/>
      <c r="AO113" s="2868"/>
      <c r="AP113" s="2868"/>
      <c r="AQ113" s="2868"/>
      <c r="AR113" s="2868"/>
      <c r="AS113" s="2868"/>
      <c r="AT113" s="2868"/>
      <c r="AU113" s="2868"/>
      <c r="AV113" s="2868"/>
      <c r="AW113" s="2868"/>
      <c r="AX113" s="2869"/>
      <c r="AY113" s="1528"/>
      <c r="AZ113" s="1528"/>
      <c r="BA113" s="1528"/>
      <c r="BB113" s="1528"/>
      <c r="BC113" s="1528"/>
      <c r="BD113" s="1528"/>
      <c r="BE113" s="1534"/>
    </row>
    <row r="114" spans="1:57" ht="15.75" customHeight="1">
      <c r="A114" s="1817"/>
      <c r="B114" s="2867"/>
      <c r="C114" s="2868"/>
      <c r="D114" s="2868"/>
      <c r="E114" s="2868"/>
      <c r="F114" s="2868"/>
      <c r="G114" s="2868"/>
      <c r="H114" s="2868"/>
      <c r="I114" s="2868"/>
      <c r="J114" s="2868"/>
      <c r="K114" s="2868"/>
      <c r="L114" s="2868"/>
      <c r="M114" s="2868"/>
      <c r="N114" s="2868"/>
      <c r="O114" s="2868"/>
      <c r="P114" s="2868"/>
      <c r="Q114" s="2868"/>
      <c r="R114" s="2868"/>
      <c r="S114" s="2868"/>
      <c r="T114" s="2868"/>
      <c r="U114" s="2868"/>
      <c r="V114" s="2868"/>
      <c r="W114" s="2868"/>
      <c r="X114" s="2868"/>
      <c r="Y114" s="2868"/>
      <c r="Z114" s="2868"/>
      <c r="AA114" s="2868"/>
      <c r="AB114" s="2868"/>
      <c r="AC114" s="2868"/>
      <c r="AD114" s="2868"/>
      <c r="AE114" s="2868"/>
      <c r="AF114" s="2868"/>
      <c r="AG114" s="2868"/>
      <c r="AH114" s="2868"/>
      <c r="AI114" s="2868"/>
      <c r="AJ114" s="2868"/>
      <c r="AK114" s="2868"/>
      <c r="AL114" s="2868"/>
      <c r="AM114" s="2868"/>
      <c r="AN114" s="2868"/>
      <c r="AO114" s="2868"/>
      <c r="AP114" s="2868"/>
      <c r="AQ114" s="2868"/>
      <c r="AR114" s="2868"/>
      <c r="AS114" s="2868"/>
      <c r="AT114" s="2868"/>
      <c r="AU114" s="2868"/>
      <c r="AV114" s="2868"/>
      <c r="AW114" s="2868"/>
      <c r="AX114" s="2869"/>
      <c r="AY114" s="1528"/>
      <c r="AZ114" s="1528"/>
      <c r="BA114" s="1528"/>
      <c r="BB114" s="1528"/>
      <c r="BC114" s="1528"/>
      <c r="BD114" s="1528"/>
      <c r="BE114" s="1534"/>
    </row>
    <row r="115" spans="1:57" ht="15.75" customHeight="1">
      <c r="A115" s="1817"/>
      <c r="B115" s="2867"/>
      <c r="C115" s="2868"/>
      <c r="D115" s="2868"/>
      <c r="E115" s="2868"/>
      <c r="F115" s="2868"/>
      <c r="G115" s="2868"/>
      <c r="H115" s="2868"/>
      <c r="I115" s="2868"/>
      <c r="J115" s="2868"/>
      <c r="K115" s="2868"/>
      <c r="L115" s="2868"/>
      <c r="M115" s="2868"/>
      <c r="N115" s="2868"/>
      <c r="O115" s="2868"/>
      <c r="P115" s="2868"/>
      <c r="Q115" s="2868"/>
      <c r="R115" s="2868"/>
      <c r="S115" s="2868"/>
      <c r="T115" s="2868"/>
      <c r="U115" s="2868"/>
      <c r="V115" s="2868"/>
      <c r="W115" s="2868"/>
      <c r="X115" s="2868"/>
      <c r="Y115" s="2868"/>
      <c r="Z115" s="2868"/>
      <c r="AA115" s="2868"/>
      <c r="AB115" s="2868"/>
      <c r="AC115" s="2868"/>
      <c r="AD115" s="2868"/>
      <c r="AE115" s="2868"/>
      <c r="AF115" s="2868"/>
      <c r="AG115" s="2868"/>
      <c r="AH115" s="2868"/>
      <c r="AI115" s="2868"/>
      <c r="AJ115" s="2868"/>
      <c r="AK115" s="2868"/>
      <c r="AL115" s="2868"/>
      <c r="AM115" s="2868"/>
      <c r="AN115" s="2868"/>
      <c r="AO115" s="2868"/>
      <c r="AP115" s="2868"/>
      <c r="AQ115" s="2868"/>
      <c r="AR115" s="2868"/>
      <c r="AS115" s="2868"/>
      <c r="AT115" s="2868"/>
      <c r="AU115" s="2868"/>
      <c r="AV115" s="2868"/>
      <c r="AW115" s="2868"/>
      <c r="AX115" s="2869"/>
      <c r="AY115" s="1528"/>
      <c r="AZ115" s="1528"/>
      <c r="BA115" s="1528"/>
      <c r="BB115" s="1528"/>
      <c r="BC115" s="1528"/>
      <c r="BD115" s="1528"/>
      <c r="BE115" s="1534"/>
    </row>
    <row r="116" spans="1:57" ht="15.75" customHeight="1" thickBot="1">
      <c r="A116" s="1817"/>
      <c r="B116" s="2870"/>
      <c r="C116" s="2871"/>
      <c r="D116" s="2871"/>
      <c r="E116" s="2871"/>
      <c r="F116" s="2871"/>
      <c r="G116" s="2871"/>
      <c r="H116" s="2871"/>
      <c r="I116" s="2871"/>
      <c r="J116" s="2871"/>
      <c r="K116" s="2871"/>
      <c r="L116" s="2871"/>
      <c r="M116" s="2871"/>
      <c r="N116" s="2871"/>
      <c r="O116" s="2871"/>
      <c r="P116" s="2871"/>
      <c r="Q116" s="2871"/>
      <c r="R116" s="2871"/>
      <c r="S116" s="2871"/>
      <c r="T116" s="2871"/>
      <c r="U116" s="2871"/>
      <c r="V116" s="2871"/>
      <c r="W116" s="2871"/>
      <c r="X116" s="2871"/>
      <c r="Y116" s="2871"/>
      <c r="Z116" s="2871"/>
      <c r="AA116" s="2871"/>
      <c r="AB116" s="2871"/>
      <c r="AC116" s="2871"/>
      <c r="AD116" s="2871"/>
      <c r="AE116" s="2871"/>
      <c r="AF116" s="2871"/>
      <c r="AG116" s="2871"/>
      <c r="AH116" s="2871"/>
      <c r="AI116" s="2871"/>
      <c r="AJ116" s="2871"/>
      <c r="AK116" s="2871"/>
      <c r="AL116" s="2871"/>
      <c r="AM116" s="2871"/>
      <c r="AN116" s="2871"/>
      <c r="AO116" s="2871"/>
      <c r="AP116" s="2871"/>
      <c r="AQ116" s="2871"/>
      <c r="AR116" s="2871"/>
      <c r="AS116" s="2871"/>
      <c r="AT116" s="2871"/>
      <c r="AU116" s="2871"/>
      <c r="AV116" s="2871"/>
      <c r="AW116" s="2871"/>
      <c r="AX116" s="2872"/>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2106</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40" t="s">
        <v>2107</v>
      </c>
      <c r="C120" s="2641"/>
      <c r="D120" s="2641"/>
      <c r="E120" s="2641"/>
      <c r="F120" s="2641"/>
      <c r="G120" s="2641"/>
      <c r="H120" s="2641"/>
      <c r="I120" s="2641"/>
      <c r="J120" s="2641"/>
      <c r="K120" s="2641"/>
      <c r="L120" s="2641"/>
      <c r="M120" s="2641"/>
      <c r="N120" s="2641"/>
      <c r="O120" s="2641"/>
      <c r="P120" s="2641"/>
      <c r="Q120" s="2641"/>
      <c r="R120" s="2641"/>
      <c r="S120" s="2641"/>
      <c r="T120" s="2641"/>
      <c r="U120" s="2844"/>
      <c r="V120" s="1528"/>
      <c r="W120" s="1528"/>
      <c r="X120" s="1528"/>
      <c r="Y120" s="1528"/>
      <c r="Z120" s="1528"/>
      <c r="AA120" s="1528"/>
      <c r="AB120" s="1528"/>
      <c r="AC120" s="1528" t="s">
        <v>255</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45"/>
      <c r="C121" s="2846"/>
      <c r="D121" s="2846"/>
      <c r="E121" s="2846"/>
      <c r="F121" s="2846"/>
      <c r="G121" s="2846"/>
      <c r="H121" s="2847"/>
      <c r="I121" s="2777" t="s">
        <v>2090</v>
      </c>
      <c r="J121" s="2778"/>
      <c r="K121" s="2778"/>
      <c r="L121" s="2778"/>
      <c r="M121" s="2778"/>
      <c r="N121" s="2778"/>
      <c r="O121" s="2848"/>
      <c r="P121" s="2777" t="s">
        <v>2101</v>
      </c>
      <c r="Q121" s="2778"/>
      <c r="R121" s="2778"/>
      <c r="S121" s="2778"/>
      <c r="T121" s="2778"/>
      <c r="U121" s="2848"/>
      <c r="V121" s="1528"/>
      <c r="W121" s="1528"/>
      <c r="X121" s="1528"/>
      <c r="Y121" s="1528"/>
      <c r="Z121" s="1528"/>
      <c r="AA121" s="1528"/>
      <c r="AB121" s="1528"/>
      <c r="AC121" s="1528"/>
      <c r="AD121" s="1528" t="s">
        <v>255</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49" t="s">
        <v>2093</v>
      </c>
      <c r="C122" s="2850"/>
      <c r="D122" s="2850"/>
      <c r="E122" s="2850"/>
      <c r="F122" s="2850"/>
      <c r="G122" s="2850"/>
      <c r="H122" s="2850"/>
      <c r="I122" s="2830"/>
      <c r="J122" s="2831"/>
      <c r="K122" s="2831"/>
      <c r="L122" s="2831"/>
      <c r="M122" s="2831"/>
      <c r="N122" s="2831"/>
      <c r="O122" s="2832"/>
      <c r="P122" s="2830"/>
      <c r="Q122" s="2831"/>
      <c r="R122" s="2831"/>
      <c r="S122" s="2831"/>
      <c r="T122" s="2831"/>
      <c r="U122" s="2832"/>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80" t="s">
        <v>2094</v>
      </c>
      <c r="C123" s="2781"/>
      <c r="D123" s="2781"/>
      <c r="E123" s="2781"/>
      <c r="F123" s="2781"/>
      <c r="G123" s="2781"/>
      <c r="H123" s="2781"/>
      <c r="I123" s="2830"/>
      <c r="J123" s="2831"/>
      <c r="K123" s="2831"/>
      <c r="L123" s="2831"/>
      <c r="M123" s="2831"/>
      <c r="N123" s="2831"/>
      <c r="O123" s="2832"/>
      <c r="P123" s="2830"/>
      <c r="Q123" s="2831"/>
      <c r="R123" s="2831"/>
      <c r="S123" s="2831"/>
      <c r="T123" s="2831"/>
      <c r="U123" s="2832"/>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51" t="s">
        <v>2108</v>
      </c>
      <c r="D125" s="2852"/>
      <c r="E125" s="2852"/>
      <c r="F125" s="2852"/>
      <c r="G125" s="2852"/>
      <c r="H125" s="2852"/>
      <c r="I125" s="2852"/>
      <c r="J125" s="2852"/>
      <c r="K125" s="2852"/>
      <c r="L125" s="2852"/>
      <c r="M125" s="2852"/>
      <c r="N125" s="2852"/>
      <c r="O125" s="2852"/>
      <c r="P125" s="2852"/>
      <c r="Q125" s="2852"/>
      <c r="R125" s="2852"/>
      <c r="S125" s="2852"/>
      <c r="T125" s="2852"/>
      <c r="U125" s="2852"/>
      <c r="V125" s="2852"/>
      <c r="W125" s="2852"/>
      <c r="X125" s="2852"/>
      <c r="Y125" s="2852"/>
      <c r="Z125" s="2852"/>
      <c r="AA125" s="2852"/>
      <c r="AB125" s="2852"/>
      <c r="AC125" s="2852"/>
      <c r="AD125" s="2852"/>
      <c r="AE125" s="2852"/>
      <c r="AF125" s="2852"/>
      <c r="AG125" s="2853"/>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54" t="s">
        <v>2109</v>
      </c>
      <c r="D126" s="2855"/>
      <c r="E126" s="2855"/>
      <c r="F126" s="2855"/>
      <c r="G126" s="2855"/>
      <c r="H126" s="2855"/>
      <c r="I126" s="2855"/>
      <c r="J126" s="2855"/>
      <c r="K126" s="2855"/>
      <c r="L126" s="2855"/>
      <c r="M126" s="2855"/>
      <c r="N126" s="2855"/>
      <c r="O126" s="2855"/>
      <c r="P126" s="2856"/>
      <c r="Q126" s="2857" t="s">
        <v>2110</v>
      </c>
      <c r="R126" s="2855"/>
      <c r="S126" s="2856"/>
      <c r="T126" s="2858" t="s">
        <v>2111</v>
      </c>
      <c r="U126" s="2859"/>
      <c r="V126" s="2859"/>
      <c r="W126" s="2859"/>
      <c r="X126" s="2859"/>
      <c r="Y126" s="2859"/>
      <c r="Z126" s="2859"/>
      <c r="AA126" s="2860"/>
      <c r="AB126" s="2861" t="s">
        <v>2112</v>
      </c>
      <c r="AC126" s="2862"/>
      <c r="AD126" s="2862"/>
      <c r="AE126" s="2862"/>
      <c r="AF126" s="2862"/>
      <c r="AG126" s="2863"/>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73" t="s">
        <v>2113</v>
      </c>
      <c r="D127" s="2874"/>
      <c r="E127" s="2874"/>
      <c r="F127" s="2874"/>
      <c r="G127" s="2874"/>
      <c r="H127" s="2874"/>
      <c r="I127" s="2874"/>
      <c r="J127" s="2874"/>
      <c r="K127" s="2874"/>
      <c r="L127" s="2874"/>
      <c r="M127" s="2874"/>
      <c r="N127" s="2874"/>
      <c r="O127" s="2874"/>
      <c r="P127" s="2875"/>
      <c r="Q127" s="2876">
        <v>55</v>
      </c>
      <c r="R127" s="2877"/>
      <c r="S127" s="2878"/>
      <c r="T127" s="2884"/>
      <c r="U127" s="2885"/>
      <c r="V127" s="2885"/>
      <c r="W127" s="2885"/>
      <c r="X127" s="2885"/>
      <c r="Y127" s="2885"/>
      <c r="Z127" s="2885"/>
      <c r="AA127" s="2885"/>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73" t="s">
        <v>429</v>
      </c>
      <c r="D128" s="2874"/>
      <c r="E128" s="2874"/>
      <c r="F128" s="2874"/>
      <c r="G128" s="2874"/>
      <c r="H128" s="2874"/>
      <c r="I128" s="2874"/>
      <c r="J128" s="2874"/>
      <c r="K128" s="2874"/>
      <c r="L128" s="2874"/>
      <c r="M128" s="2874"/>
      <c r="N128" s="2874"/>
      <c r="O128" s="2874"/>
      <c r="P128" s="2875"/>
      <c r="Q128" s="2876">
        <v>55</v>
      </c>
      <c r="R128" s="2877"/>
      <c r="S128" s="2878"/>
      <c r="T128" s="2886" t="str">
        <f>_xlfn.CONCAT(Application!AC515,"/", Application!AH515)</f>
        <v>N/A/</v>
      </c>
      <c r="U128" s="2887"/>
      <c r="V128" s="2887"/>
      <c r="W128" s="2887"/>
      <c r="X128" s="2887"/>
      <c r="Y128" s="2887"/>
      <c r="Z128" s="2887"/>
      <c r="AA128" s="2887"/>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73" t="s">
        <v>2114</v>
      </c>
      <c r="D129" s="2874"/>
      <c r="E129" s="2874"/>
      <c r="F129" s="2874"/>
      <c r="G129" s="2874"/>
      <c r="H129" s="2874"/>
      <c r="I129" s="2874"/>
      <c r="J129" s="2874"/>
      <c r="K129" s="2874"/>
      <c r="L129" s="2874"/>
      <c r="M129" s="2874"/>
      <c r="N129" s="2874"/>
      <c r="O129" s="2874"/>
      <c r="P129" s="2875"/>
      <c r="Q129" s="2876">
        <v>55</v>
      </c>
      <c r="R129" s="2877"/>
      <c r="S129" s="2878"/>
      <c r="T129" s="2879"/>
      <c r="U129" s="2880"/>
      <c r="V129" s="2880"/>
      <c r="W129" s="2880"/>
      <c r="X129" s="2880"/>
      <c r="Y129" s="2880"/>
      <c r="Z129" s="2880"/>
      <c r="AA129" s="2880"/>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73" t="s">
        <v>2115</v>
      </c>
      <c r="D130" s="2874"/>
      <c r="E130" s="2874"/>
      <c r="F130" s="2874"/>
      <c r="G130" s="2874"/>
      <c r="H130" s="2874"/>
      <c r="I130" s="2874"/>
      <c r="J130" s="2874"/>
      <c r="K130" s="2874"/>
      <c r="L130" s="2874"/>
      <c r="M130" s="2874"/>
      <c r="N130" s="2874"/>
      <c r="O130" s="2874"/>
      <c r="P130" s="2875"/>
      <c r="Q130" s="2881"/>
      <c r="R130" s="2882"/>
      <c r="S130" s="2883"/>
      <c r="T130" s="2884"/>
      <c r="U130" s="2885"/>
      <c r="V130" s="2885"/>
      <c r="W130" s="2885"/>
      <c r="X130" s="2885"/>
      <c r="Y130" s="2885"/>
      <c r="Z130" s="2885"/>
      <c r="AA130" s="2885"/>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73" t="s">
        <v>2068</v>
      </c>
      <c r="D131" s="2874"/>
      <c r="E131" s="2874"/>
      <c r="F131" s="2874"/>
      <c r="G131" s="2874"/>
      <c r="H131" s="2874"/>
      <c r="I131" s="2874"/>
      <c r="J131" s="2874"/>
      <c r="K131" s="2874"/>
      <c r="L131" s="2874"/>
      <c r="M131" s="2874"/>
      <c r="N131" s="2874"/>
      <c r="O131" s="2874"/>
      <c r="P131" s="2875"/>
      <c r="Q131" s="2888">
        <f>Application!AG400</f>
        <v>0</v>
      </c>
      <c r="R131" s="2889"/>
      <c r="S131" s="2890"/>
      <c r="T131" s="2884"/>
      <c r="U131" s="2885"/>
      <c r="V131" s="2885"/>
      <c r="W131" s="2885"/>
      <c r="X131" s="2885"/>
      <c r="Y131" s="2885"/>
      <c r="Z131" s="2885"/>
      <c r="AA131" s="2891"/>
      <c r="AB131" s="2892">
        <f>Application!AE401</f>
        <v>0</v>
      </c>
      <c r="AC131" s="2893"/>
      <c r="AD131" s="2893"/>
      <c r="AE131" s="2893"/>
      <c r="AF131" s="2893"/>
      <c r="AG131" s="2894"/>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09" t="s">
        <v>174</v>
      </c>
      <c r="D132" s="2610"/>
      <c r="E132" s="2610"/>
      <c r="F132" s="2895" t="s">
        <v>2116</v>
      </c>
      <c r="G132" s="2895"/>
      <c r="H132" s="2895"/>
      <c r="I132" s="2895"/>
      <c r="J132" s="2895"/>
      <c r="K132" s="2895"/>
      <c r="L132" s="2895"/>
      <c r="M132" s="2895"/>
      <c r="N132" s="2895"/>
      <c r="O132" s="2895"/>
      <c r="P132" s="2895"/>
      <c r="Q132" s="2896">
        <v>55</v>
      </c>
      <c r="R132" s="2896"/>
      <c r="S132" s="2896"/>
      <c r="T132" s="2897"/>
      <c r="U132" s="2897"/>
      <c r="V132" s="2897"/>
      <c r="W132" s="2897"/>
      <c r="X132" s="2897"/>
      <c r="Y132" s="2897"/>
      <c r="Z132" s="2897"/>
      <c r="AA132" s="2897"/>
      <c r="AB132" s="2898"/>
      <c r="AC132" s="2899"/>
      <c r="AD132" s="2899"/>
      <c r="AE132" s="2899"/>
      <c r="AF132" s="2899"/>
      <c r="AG132" s="2900"/>
      <c r="AH132" s="1528"/>
      <c r="AI132" s="1528"/>
      <c r="AJ132" s="1528"/>
      <c r="AK132" s="1528" t="s">
        <v>255</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09" t="s">
        <v>174</v>
      </c>
      <c r="D133" s="2610"/>
      <c r="E133" s="2610"/>
      <c r="F133" s="2895" t="s">
        <v>2116</v>
      </c>
      <c r="G133" s="2895"/>
      <c r="H133" s="2895"/>
      <c r="I133" s="2895"/>
      <c r="J133" s="2895"/>
      <c r="K133" s="2895"/>
      <c r="L133" s="2895"/>
      <c r="M133" s="2895"/>
      <c r="N133" s="2895"/>
      <c r="O133" s="2895"/>
      <c r="P133" s="2895"/>
      <c r="Q133" s="2896">
        <v>55</v>
      </c>
      <c r="R133" s="2896"/>
      <c r="S133" s="2896"/>
      <c r="T133" s="2897"/>
      <c r="U133" s="2897"/>
      <c r="V133" s="2897"/>
      <c r="W133" s="2897"/>
      <c r="X133" s="2897"/>
      <c r="Y133" s="2897"/>
      <c r="Z133" s="2897"/>
      <c r="AA133" s="2897"/>
      <c r="AB133" s="2898"/>
      <c r="AC133" s="2899"/>
      <c r="AD133" s="2899"/>
      <c r="AE133" s="2899"/>
      <c r="AF133" s="2899"/>
      <c r="AG133" s="2900"/>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09" t="s">
        <v>174</v>
      </c>
      <c r="D134" s="2610"/>
      <c r="E134" s="2610"/>
      <c r="F134" s="2901" t="s">
        <v>2116</v>
      </c>
      <c r="G134" s="2901"/>
      <c r="H134" s="2901"/>
      <c r="I134" s="2901"/>
      <c r="J134" s="2901"/>
      <c r="K134" s="2901"/>
      <c r="L134" s="2901"/>
      <c r="M134" s="2901"/>
      <c r="N134" s="2901"/>
      <c r="O134" s="2901"/>
      <c r="P134" s="2901"/>
      <c r="Q134" s="2783">
        <v>55</v>
      </c>
      <c r="R134" s="2783"/>
      <c r="S134" s="2783"/>
      <c r="T134" s="2782"/>
      <c r="U134" s="2782"/>
      <c r="V134" s="2782"/>
      <c r="W134" s="2782"/>
      <c r="X134" s="2782"/>
      <c r="Y134" s="2782"/>
      <c r="Z134" s="2782"/>
      <c r="AA134" s="2782"/>
      <c r="AB134" s="2902"/>
      <c r="AC134" s="2903"/>
      <c r="AD134" s="2903"/>
      <c r="AE134" s="2903"/>
      <c r="AF134" s="2903"/>
      <c r="AG134" s="2904"/>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11" t="s">
        <v>2117</v>
      </c>
      <c r="D136" s="2612"/>
      <c r="E136" s="2612"/>
      <c r="F136" s="2612"/>
      <c r="G136" s="2612"/>
      <c r="H136" s="2612"/>
      <c r="I136" s="2612"/>
      <c r="J136" s="2612"/>
      <c r="K136" s="2612"/>
      <c r="L136" s="2612"/>
      <c r="M136" s="2612"/>
      <c r="N136" s="2613"/>
      <c r="O136" s="1528"/>
      <c r="P136" s="2906" t="s">
        <v>2118</v>
      </c>
      <c r="Q136" s="2907"/>
      <c r="R136" s="2907"/>
      <c r="S136" s="2907"/>
      <c r="T136" s="2907"/>
      <c r="U136" s="2907"/>
      <c r="V136" s="2907"/>
      <c r="W136" s="2907"/>
      <c r="X136" s="2907"/>
      <c r="Y136" s="2907"/>
      <c r="Z136" s="2907"/>
      <c r="AA136" s="2907"/>
      <c r="AB136" s="2907"/>
      <c r="AC136" s="2907"/>
      <c r="AD136" s="2907"/>
      <c r="AE136" s="2907"/>
      <c r="AF136" s="2907"/>
      <c r="AG136" s="2907"/>
      <c r="AH136" s="2907"/>
      <c r="AI136" s="2907"/>
      <c r="AJ136" s="2907"/>
      <c r="AK136" s="2907"/>
      <c r="AL136" s="2907"/>
      <c r="AM136" s="2907"/>
      <c r="AN136" s="2907"/>
      <c r="AO136" s="2908"/>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16" t="s">
        <v>2119</v>
      </c>
      <c r="D137" s="2817"/>
      <c r="E137" s="2817"/>
      <c r="F137" s="2817"/>
      <c r="G137" s="2817"/>
      <c r="H137" s="2818"/>
      <c r="I137" s="2816" t="s">
        <v>2120</v>
      </c>
      <c r="J137" s="2817"/>
      <c r="K137" s="2817"/>
      <c r="L137" s="2817"/>
      <c r="M137" s="2817"/>
      <c r="N137" s="2818"/>
      <c r="O137" s="1528"/>
      <c r="P137" s="2909"/>
      <c r="Q137" s="2910"/>
      <c r="R137" s="2910"/>
      <c r="S137" s="2910"/>
      <c r="T137" s="2910"/>
      <c r="U137" s="2910"/>
      <c r="V137" s="2910"/>
      <c r="W137" s="2910"/>
      <c r="X137" s="2910"/>
      <c r="Y137" s="2910"/>
      <c r="Z137" s="2910"/>
      <c r="AA137" s="2910"/>
      <c r="AB137" s="2910"/>
      <c r="AC137" s="2910"/>
      <c r="AD137" s="2910"/>
      <c r="AE137" s="2910"/>
      <c r="AF137" s="2910"/>
      <c r="AG137" s="2910"/>
      <c r="AH137" s="2910"/>
      <c r="AI137" s="2910"/>
      <c r="AJ137" s="2910"/>
      <c r="AK137" s="2910"/>
      <c r="AL137" s="2910"/>
      <c r="AM137" s="2910"/>
      <c r="AN137" s="2910"/>
      <c r="AO137" s="2911"/>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20"/>
      <c r="D138" s="2720"/>
      <c r="E138" s="2720"/>
      <c r="F138" s="2720"/>
      <c r="G138" s="2720"/>
      <c r="H138" s="2720"/>
      <c r="I138" s="2905"/>
      <c r="J138" s="2905"/>
      <c r="K138" s="2905"/>
      <c r="L138" s="2905"/>
      <c r="M138" s="2905"/>
      <c r="N138" s="2905"/>
      <c r="O138" s="1528"/>
      <c r="P138" s="2909"/>
      <c r="Q138" s="2910"/>
      <c r="R138" s="2910"/>
      <c r="S138" s="2910"/>
      <c r="T138" s="2910"/>
      <c r="U138" s="2910"/>
      <c r="V138" s="2910"/>
      <c r="W138" s="2910"/>
      <c r="X138" s="2910"/>
      <c r="Y138" s="2910"/>
      <c r="Z138" s="2910"/>
      <c r="AA138" s="2910"/>
      <c r="AB138" s="2910"/>
      <c r="AC138" s="2910"/>
      <c r="AD138" s="2910"/>
      <c r="AE138" s="2910"/>
      <c r="AF138" s="2910"/>
      <c r="AG138" s="2910"/>
      <c r="AH138" s="2910"/>
      <c r="AI138" s="2910"/>
      <c r="AJ138" s="2910"/>
      <c r="AK138" s="2910"/>
      <c r="AL138" s="2910"/>
      <c r="AM138" s="2910"/>
      <c r="AN138" s="2910"/>
      <c r="AO138" s="2911"/>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20"/>
      <c r="D139" s="2720"/>
      <c r="E139" s="2720"/>
      <c r="F139" s="2720"/>
      <c r="G139" s="2720"/>
      <c r="H139" s="2720"/>
      <c r="I139" s="2905"/>
      <c r="J139" s="2905"/>
      <c r="K139" s="2905"/>
      <c r="L139" s="2905"/>
      <c r="M139" s="2905"/>
      <c r="N139" s="2905"/>
      <c r="O139" s="1528"/>
      <c r="P139" s="2909"/>
      <c r="Q139" s="2910"/>
      <c r="R139" s="2910"/>
      <c r="S139" s="2910"/>
      <c r="T139" s="2910"/>
      <c r="U139" s="2910"/>
      <c r="V139" s="2910"/>
      <c r="W139" s="2910"/>
      <c r="X139" s="2910"/>
      <c r="Y139" s="2910"/>
      <c r="Z139" s="2910"/>
      <c r="AA139" s="2910"/>
      <c r="AB139" s="2910"/>
      <c r="AC139" s="2910"/>
      <c r="AD139" s="2910"/>
      <c r="AE139" s="2910"/>
      <c r="AF139" s="2910"/>
      <c r="AG139" s="2910"/>
      <c r="AH139" s="2910"/>
      <c r="AI139" s="2910"/>
      <c r="AJ139" s="2910"/>
      <c r="AK139" s="2910"/>
      <c r="AL139" s="2910"/>
      <c r="AM139" s="2910"/>
      <c r="AN139" s="2910"/>
      <c r="AO139" s="2911"/>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20"/>
      <c r="D140" s="2720"/>
      <c r="E140" s="2720"/>
      <c r="F140" s="2720"/>
      <c r="G140" s="2720"/>
      <c r="H140" s="2720"/>
      <c r="I140" s="2905"/>
      <c r="J140" s="2905"/>
      <c r="K140" s="2905"/>
      <c r="L140" s="2905"/>
      <c r="M140" s="2905"/>
      <c r="N140" s="2905"/>
      <c r="O140" s="1528"/>
      <c r="P140" s="2909"/>
      <c r="Q140" s="2910"/>
      <c r="R140" s="2910"/>
      <c r="S140" s="2910"/>
      <c r="T140" s="2910"/>
      <c r="U140" s="2910"/>
      <c r="V140" s="2910"/>
      <c r="W140" s="2910"/>
      <c r="X140" s="2910"/>
      <c r="Y140" s="2910"/>
      <c r="Z140" s="2910"/>
      <c r="AA140" s="2910"/>
      <c r="AB140" s="2910"/>
      <c r="AC140" s="2910"/>
      <c r="AD140" s="2910"/>
      <c r="AE140" s="2910"/>
      <c r="AF140" s="2910"/>
      <c r="AG140" s="2910"/>
      <c r="AH140" s="2910"/>
      <c r="AI140" s="2910"/>
      <c r="AJ140" s="2910"/>
      <c r="AK140" s="2910"/>
      <c r="AL140" s="2910"/>
      <c r="AM140" s="2910"/>
      <c r="AN140" s="2910"/>
      <c r="AO140" s="2911"/>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20"/>
      <c r="D141" s="2720"/>
      <c r="E141" s="2720"/>
      <c r="F141" s="2720"/>
      <c r="G141" s="2720"/>
      <c r="H141" s="2720"/>
      <c r="I141" s="2905"/>
      <c r="J141" s="2905"/>
      <c r="K141" s="2905"/>
      <c r="L141" s="2905"/>
      <c r="M141" s="2905"/>
      <c r="N141" s="2905"/>
      <c r="O141" s="1528"/>
      <c r="P141" s="2909"/>
      <c r="Q141" s="2910"/>
      <c r="R141" s="2910"/>
      <c r="S141" s="2910"/>
      <c r="T141" s="2910"/>
      <c r="U141" s="2910"/>
      <c r="V141" s="2910"/>
      <c r="W141" s="2910"/>
      <c r="X141" s="2910"/>
      <c r="Y141" s="2910"/>
      <c r="Z141" s="2910"/>
      <c r="AA141" s="2910"/>
      <c r="AB141" s="2910"/>
      <c r="AC141" s="2910"/>
      <c r="AD141" s="2910"/>
      <c r="AE141" s="2910"/>
      <c r="AF141" s="2910"/>
      <c r="AG141" s="2910"/>
      <c r="AH141" s="2910"/>
      <c r="AI141" s="2910"/>
      <c r="AJ141" s="2910"/>
      <c r="AK141" s="2910"/>
      <c r="AL141" s="2910"/>
      <c r="AM141" s="2910"/>
      <c r="AN141" s="2910"/>
      <c r="AO141" s="2911"/>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20"/>
      <c r="D142" s="2720"/>
      <c r="E142" s="2720"/>
      <c r="F142" s="2720"/>
      <c r="G142" s="2720"/>
      <c r="H142" s="2720"/>
      <c r="I142" s="2905"/>
      <c r="J142" s="2905"/>
      <c r="K142" s="2905"/>
      <c r="L142" s="2905"/>
      <c r="M142" s="2905"/>
      <c r="N142" s="2905"/>
      <c r="O142" s="1528"/>
      <c r="P142" s="2909"/>
      <c r="Q142" s="2910"/>
      <c r="R142" s="2910"/>
      <c r="S142" s="2910"/>
      <c r="T142" s="2910"/>
      <c r="U142" s="2910"/>
      <c r="V142" s="2910"/>
      <c r="W142" s="2910"/>
      <c r="X142" s="2910"/>
      <c r="Y142" s="2910"/>
      <c r="Z142" s="2910"/>
      <c r="AA142" s="2910"/>
      <c r="AB142" s="2910"/>
      <c r="AC142" s="2910"/>
      <c r="AD142" s="2910"/>
      <c r="AE142" s="2910"/>
      <c r="AF142" s="2910"/>
      <c r="AG142" s="2910"/>
      <c r="AH142" s="2910"/>
      <c r="AI142" s="2910"/>
      <c r="AJ142" s="2910"/>
      <c r="AK142" s="2910"/>
      <c r="AL142" s="2910"/>
      <c r="AM142" s="2910"/>
      <c r="AN142" s="2910"/>
      <c r="AO142" s="2911"/>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20"/>
      <c r="D143" s="2720"/>
      <c r="E143" s="2720"/>
      <c r="F143" s="2720"/>
      <c r="G143" s="2720"/>
      <c r="H143" s="2720"/>
      <c r="I143" s="2905"/>
      <c r="J143" s="2905"/>
      <c r="K143" s="2905"/>
      <c r="L143" s="2905"/>
      <c r="M143" s="2905"/>
      <c r="N143" s="2905"/>
      <c r="O143" s="1528"/>
      <c r="P143" s="2909"/>
      <c r="Q143" s="2910"/>
      <c r="R143" s="2910"/>
      <c r="S143" s="2910"/>
      <c r="T143" s="2910"/>
      <c r="U143" s="2910"/>
      <c r="V143" s="2910"/>
      <c r="W143" s="2910"/>
      <c r="X143" s="2910"/>
      <c r="Y143" s="2910"/>
      <c r="Z143" s="2910"/>
      <c r="AA143" s="2910"/>
      <c r="AB143" s="2910"/>
      <c r="AC143" s="2910"/>
      <c r="AD143" s="2910"/>
      <c r="AE143" s="2910"/>
      <c r="AF143" s="2910"/>
      <c r="AG143" s="2910"/>
      <c r="AH143" s="2910"/>
      <c r="AI143" s="2910"/>
      <c r="AJ143" s="2910"/>
      <c r="AK143" s="2910"/>
      <c r="AL143" s="2910"/>
      <c r="AM143" s="2910"/>
      <c r="AN143" s="2910"/>
      <c r="AO143" s="2911"/>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20"/>
      <c r="D144" s="2720"/>
      <c r="E144" s="2720"/>
      <c r="F144" s="2720"/>
      <c r="G144" s="2720"/>
      <c r="H144" s="2720"/>
      <c r="I144" s="2905"/>
      <c r="J144" s="2905"/>
      <c r="K144" s="2905"/>
      <c r="L144" s="2905"/>
      <c r="M144" s="2905"/>
      <c r="N144" s="2905"/>
      <c r="O144" s="1528"/>
      <c r="P144" s="2912"/>
      <c r="Q144" s="2913"/>
      <c r="R144" s="2913"/>
      <c r="S144" s="2913"/>
      <c r="T144" s="2913"/>
      <c r="U144" s="2913"/>
      <c r="V144" s="2913"/>
      <c r="W144" s="2913"/>
      <c r="X144" s="2913"/>
      <c r="Y144" s="2913"/>
      <c r="Z144" s="2913"/>
      <c r="AA144" s="2913"/>
      <c r="AB144" s="2913"/>
      <c r="AC144" s="2913"/>
      <c r="AD144" s="2913"/>
      <c r="AE144" s="2913"/>
      <c r="AF144" s="2913"/>
      <c r="AG144" s="2913"/>
      <c r="AH144" s="2913"/>
      <c r="AI144" s="2913"/>
      <c r="AJ144" s="2913"/>
      <c r="AK144" s="2913"/>
      <c r="AL144" s="2913"/>
      <c r="AM144" s="2913"/>
      <c r="AN144" s="2913"/>
      <c r="AO144" s="2914"/>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2121</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2122</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25"/>
      <c r="D149" s="2926"/>
      <c r="E149" s="2926"/>
      <c r="F149" s="2926"/>
      <c r="G149" s="2926"/>
      <c r="H149" s="2926"/>
      <c r="I149" s="2926"/>
      <c r="J149" s="2926"/>
      <c r="K149" s="2926"/>
      <c r="L149" s="2926"/>
      <c r="M149" s="2927"/>
      <c r="N149" s="2928" t="s">
        <v>2123</v>
      </c>
      <c r="O149" s="2928"/>
      <c r="P149" s="2928"/>
      <c r="Q149" s="2928"/>
      <c r="R149" s="2928"/>
      <c r="S149" s="2928"/>
      <c r="T149" s="2929"/>
      <c r="U149" s="2930" t="s">
        <v>2109</v>
      </c>
      <c r="V149" s="2760"/>
      <c r="W149" s="2760"/>
      <c r="X149" s="2760"/>
      <c r="Y149" s="2760"/>
      <c r="Z149" s="2760"/>
      <c r="AA149" s="2760"/>
      <c r="AB149" s="2760"/>
      <c r="AC149" s="2760"/>
      <c r="AD149" s="2760"/>
      <c r="AE149" s="2761"/>
      <c r="AF149" s="1528"/>
      <c r="AG149" s="1528"/>
      <c r="AH149" s="2604" t="s">
        <v>2124</v>
      </c>
      <c r="AI149" s="2605"/>
      <c r="AJ149" s="2605"/>
      <c r="AK149" s="2605"/>
      <c r="AL149" s="2605"/>
      <c r="AM149" s="2605"/>
      <c r="AN149" s="2605"/>
      <c r="AO149" s="2605"/>
      <c r="AP149" s="2605"/>
      <c r="AQ149" s="2605"/>
      <c r="AR149" s="2605"/>
      <c r="AS149" s="2915"/>
      <c r="AT149" s="2916"/>
      <c r="AU149" s="2916"/>
      <c r="AV149" s="2916"/>
      <c r="AW149" s="2916"/>
      <c r="AX149" s="1528"/>
      <c r="AY149" s="1528"/>
      <c r="AZ149" s="1528"/>
      <c r="BA149" s="1528"/>
      <c r="BB149" s="1528"/>
      <c r="BC149" s="1528"/>
      <c r="BD149" s="1528"/>
      <c r="BE149" s="1534"/>
    </row>
    <row r="150" spans="1:57" ht="15.75" customHeight="1">
      <c r="A150" s="1817"/>
      <c r="B150" s="1528"/>
      <c r="C150" s="2854" t="s">
        <v>2125</v>
      </c>
      <c r="D150" s="2855"/>
      <c r="E150" s="2855"/>
      <c r="F150" s="2855"/>
      <c r="G150" s="2855"/>
      <c r="H150" s="2855"/>
      <c r="I150" s="2855"/>
      <c r="J150" s="2855"/>
      <c r="K150" s="2855"/>
      <c r="L150" s="2855"/>
      <c r="M150" s="2917"/>
      <c r="N150" s="2918">
        <f>'Sources and Uses Budget'!B104</f>
        <v>2200000</v>
      </c>
      <c r="O150" s="2918"/>
      <c r="P150" s="2918"/>
      <c r="Q150" s="2918"/>
      <c r="R150" s="2918"/>
      <c r="S150" s="2918"/>
      <c r="T150" s="2919"/>
      <c r="U150" s="2920"/>
      <c r="V150" s="2921"/>
      <c r="W150" s="2921"/>
      <c r="X150" s="2921"/>
      <c r="Y150" s="2921"/>
      <c r="Z150" s="2921"/>
      <c r="AA150" s="2921"/>
      <c r="AB150" s="2921"/>
      <c r="AC150" s="2921"/>
      <c r="AD150" s="2921"/>
      <c r="AE150" s="2922"/>
      <c r="AF150" s="1528"/>
      <c r="AG150" s="1528"/>
      <c r="AH150" s="2923" t="s">
        <v>2126</v>
      </c>
      <c r="AI150" s="2924"/>
      <c r="AJ150" s="2924"/>
      <c r="AK150" s="2924"/>
      <c r="AL150" s="2924"/>
      <c r="AM150" s="2924"/>
      <c r="AN150" s="2924"/>
      <c r="AO150" s="2924"/>
      <c r="AP150" s="2924"/>
      <c r="AQ150" s="2924"/>
      <c r="AR150" s="2924"/>
      <c r="AS150" s="2915"/>
      <c r="AT150" s="2916"/>
      <c r="AU150" s="2916"/>
      <c r="AV150" s="2916"/>
      <c r="AW150" s="2916"/>
      <c r="AX150" s="1528"/>
      <c r="AY150" s="1528"/>
      <c r="AZ150" s="1528"/>
      <c r="BA150" s="1528"/>
      <c r="BB150" s="1528"/>
      <c r="BC150" s="1528"/>
      <c r="BD150" s="1528"/>
      <c r="BE150" s="1534"/>
    </row>
    <row r="151" spans="1:57" ht="15.75" customHeight="1">
      <c r="A151" s="1817"/>
      <c r="B151" s="1528"/>
      <c r="C151" s="2854" t="s">
        <v>2127</v>
      </c>
      <c r="D151" s="2855"/>
      <c r="E151" s="2855"/>
      <c r="F151" s="2855"/>
      <c r="G151" s="2855"/>
      <c r="H151" s="2855"/>
      <c r="I151" s="2855"/>
      <c r="J151" s="2855"/>
      <c r="K151" s="2855"/>
      <c r="L151" s="2855"/>
      <c r="M151" s="2917"/>
      <c r="N151" s="2918">
        <f>N150/J29</f>
        <v>33846.153846153844</v>
      </c>
      <c r="O151" s="2918"/>
      <c r="P151" s="2918"/>
      <c r="Q151" s="2918"/>
      <c r="R151" s="2918"/>
      <c r="S151" s="2918"/>
      <c r="T151" s="2919"/>
      <c r="U151" s="1552"/>
      <c r="V151" s="1552"/>
      <c r="W151" s="1552"/>
      <c r="X151" s="1552"/>
      <c r="Y151" s="1552"/>
      <c r="Z151" s="1552"/>
      <c r="AA151" s="1552"/>
      <c r="AB151" s="1552"/>
      <c r="AC151" s="1552"/>
      <c r="AD151" s="1552"/>
      <c r="AE151" s="1553"/>
      <c r="AF151" s="1528"/>
      <c r="AG151" s="1528"/>
      <c r="AH151" s="2873" t="s">
        <v>2128</v>
      </c>
      <c r="AI151" s="2874"/>
      <c r="AJ151" s="2874"/>
      <c r="AK151" s="2874"/>
      <c r="AL151" s="2874"/>
      <c r="AM151" s="2874"/>
      <c r="AN151" s="2874"/>
      <c r="AO151" s="2874"/>
      <c r="AP151" s="2874"/>
      <c r="AQ151" s="2874"/>
      <c r="AR151" s="2875"/>
      <c r="AS151" s="2915"/>
      <c r="AT151" s="2916"/>
      <c r="AU151" s="2916"/>
      <c r="AV151" s="2916"/>
      <c r="AW151" s="2916"/>
      <c r="AX151" s="1528"/>
      <c r="AY151" s="1528"/>
      <c r="AZ151" s="1528"/>
      <c r="BA151" s="1528"/>
      <c r="BB151" s="1528"/>
      <c r="BC151" s="1528"/>
      <c r="BD151" s="1528"/>
      <c r="BE151" s="1534"/>
    </row>
    <row r="152" spans="1:57" ht="15.75" customHeight="1">
      <c r="A152" s="1817"/>
      <c r="B152" s="1528"/>
      <c r="C152" s="2941" t="s">
        <v>2129</v>
      </c>
      <c r="D152" s="2778"/>
      <c r="E152" s="2778"/>
      <c r="F152" s="2778"/>
      <c r="G152" s="2778"/>
      <c r="H152" s="2778"/>
      <c r="I152" s="2778"/>
      <c r="J152" s="2778"/>
      <c r="K152" s="2778"/>
      <c r="L152" s="2778"/>
      <c r="M152" s="2779"/>
      <c r="N152" s="2942"/>
      <c r="O152" s="2942"/>
      <c r="P152" s="2942"/>
      <c r="Q152" s="2942"/>
      <c r="R152" s="2942"/>
      <c r="S152" s="2942"/>
      <c r="T152" s="2943"/>
      <c r="U152" s="2948"/>
      <c r="V152" s="2949"/>
      <c r="W152" s="2949"/>
      <c r="X152" s="2949"/>
      <c r="Y152" s="2949"/>
      <c r="Z152" s="2949"/>
      <c r="AA152" s="2949"/>
      <c r="AB152" s="2949"/>
      <c r="AC152" s="2949"/>
      <c r="AD152" s="2949"/>
      <c r="AE152" s="2950"/>
      <c r="AF152" s="1528"/>
      <c r="AG152" s="1528"/>
      <c r="AH152" s="2920"/>
      <c r="AI152" s="2921"/>
      <c r="AJ152" s="2921"/>
      <c r="AK152" s="2921"/>
      <c r="AL152" s="2921"/>
      <c r="AM152" s="2921"/>
      <c r="AN152" s="2921"/>
      <c r="AO152" s="2921"/>
      <c r="AP152" s="2921"/>
      <c r="AQ152" s="2921"/>
      <c r="AR152" s="2944"/>
      <c r="AS152" s="2945"/>
      <c r="AT152" s="2946"/>
      <c r="AU152" s="2946"/>
      <c r="AV152" s="2946"/>
      <c r="AW152" s="2947"/>
      <c r="AX152" s="1528"/>
      <c r="AY152" s="1528"/>
      <c r="AZ152" s="1528"/>
      <c r="BA152" s="1528"/>
      <c r="BB152" s="1528"/>
      <c r="BC152" s="1528"/>
      <c r="BD152" s="1528"/>
      <c r="BE152" s="1534"/>
    </row>
    <row r="153" spans="1:57" ht="15.75" customHeight="1" thickBot="1">
      <c r="A153" s="1817"/>
      <c r="B153" s="1528"/>
      <c r="C153" s="2873" t="s">
        <v>2130</v>
      </c>
      <c r="D153" s="2874"/>
      <c r="E153" s="2874"/>
      <c r="F153" s="2874"/>
      <c r="G153" s="2874"/>
      <c r="H153" s="2874"/>
      <c r="I153" s="2874"/>
      <c r="J153" s="2874"/>
      <c r="K153" s="2874"/>
      <c r="L153" s="2874"/>
      <c r="M153" s="2931"/>
      <c r="N153" s="2932">
        <f>SUM('Sources and Uses Budget'!B85:B86)</f>
        <v>1722212</v>
      </c>
      <c r="O153" s="2932"/>
      <c r="P153" s="2932"/>
      <c r="Q153" s="2932"/>
      <c r="R153" s="2932"/>
      <c r="S153" s="2932"/>
      <c r="T153" s="2933"/>
      <c r="U153" s="2934"/>
      <c r="V153" s="2935"/>
      <c r="W153" s="2935"/>
      <c r="X153" s="2935"/>
      <c r="Y153" s="2935"/>
      <c r="Z153" s="2935"/>
      <c r="AA153" s="2935"/>
      <c r="AB153" s="2935"/>
      <c r="AC153" s="2935"/>
      <c r="AD153" s="2935"/>
      <c r="AE153" s="2936"/>
      <c r="AF153" s="1528"/>
      <c r="AG153" s="1528"/>
      <c r="AH153" s="2937" t="s">
        <v>2131</v>
      </c>
      <c r="AI153" s="2938"/>
      <c r="AJ153" s="2938"/>
      <c r="AK153" s="2938"/>
      <c r="AL153" s="2938"/>
      <c r="AM153" s="2938"/>
      <c r="AN153" s="2938"/>
      <c r="AO153" s="2938"/>
      <c r="AP153" s="2938"/>
      <c r="AQ153" s="2938"/>
      <c r="AR153" s="2938"/>
      <c r="AS153" s="2939">
        <f>SUM(AS149:AW151)</f>
        <v>0</v>
      </c>
      <c r="AT153" s="2940"/>
      <c r="AU153" s="2940"/>
      <c r="AV153" s="2940"/>
      <c r="AW153" s="2940"/>
      <c r="AX153" s="1528"/>
      <c r="AY153" s="1528"/>
      <c r="AZ153" s="1528"/>
      <c r="BA153" s="1528"/>
      <c r="BB153" s="1528"/>
      <c r="BC153" s="1528"/>
      <c r="BD153" s="1528"/>
      <c r="BE153" s="1534"/>
    </row>
    <row r="154" spans="1:57" ht="15.75" customHeight="1">
      <c r="A154" s="1817"/>
      <c r="B154" s="1528"/>
      <c r="C154" s="2873" t="s">
        <v>2132</v>
      </c>
      <c r="D154" s="2874"/>
      <c r="E154" s="2874"/>
      <c r="F154" s="2874"/>
      <c r="G154" s="2874"/>
      <c r="H154" s="2874"/>
      <c r="I154" s="2874"/>
      <c r="J154" s="2874"/>
      <c r="K154" s="2874"/>
      <c r="L154" s="2874"/>
      <c r="M154" s="2931"/>
      <c r="N154" s="2932">
        <f>'Sources and Uses Budget'!B8</f>
        <v>2961280</v>
      </c>
      <c r="O154" s="2932"/>
      <c r="P154" s="2932"/>
      <c r="Q154" s="2932"/>
      <c r="R154" s="2932"/>
      <c r="S154" s="2932"/>
      <c r="T154" s="2933"/>
      <c r="U154" s="2934"/>
      <c r="V154" s="2935"/>
      <c r="W154" s="2935"/>
      <c r="X154" s="2935"/>
      <c r="Y154" s="2935"/>
      <c r="Z154" s="2935"/>
      <c r="AA154" s="2935"/>
      <c r="AB154" s="2935"/>
      <c r="AC154" s="2935"/>
      <c r="AD154" s="2935"/>
      <c r="AE154" s="2936"/>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73" t="s">
        <v>2133</v>
      </c>
      <c r="D155" s="2874"/>
      <c r="E155" s="2874"/>
      <c r="F155" s="2874"/>
      <c r="G155" s="2874"/>
      <c r="H155" s="2874"/>
      <c r="I155" s="2874"/>
      <c r="J155" s="2874"/>
      <c r="K155" s="2874"/>
      <c r="L155" s="2874"/>
      <c r="M155" s="2931"/>
      <c r="N155" s="2954"/>
      <c r="O155" s="2954"/>
      <c r="P155" s="2954"/>
      <c r="Q155" s="2954"/>
      <c r="R155" s="2954"/>
      <c r="S155" s="2954"/>
      <c r="T155" s="2955"/>
      <c r="U155" s="2934"/>
      <c r="V155" s="2935"/>
      <c r="W155" s="2935"/>
      <c r="X155" s="2935"/>
      <c r="Y155" s="2935"/>
      <c r="Z155" s="2935"/>
      <c r="AA155" s="2935"/>
      <c r="AB155" s="2935"/>
      <c r="AC155" s="2935"/>
      <c r="AD155" s="2935"/>
      <c r="AE155" s="2936"/>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73" t="s">
        <v>2126</v>
      </c>
      <c r="D156" s="2874"/>
      <c r="E156" s="2874"/>
      <c r="F156" s="2874"/>
      <c r="G156" s="2874"/>
      <c r="H156" s="2874"/>
      <c r="I156" s="2874"/>
      <c r="J156" s="2874"/>
      <c r="K156" s="2874"/>
      <c r="L156" s="2874"/>
      <c r="M156" s="2931"/>
      <c r="N156" s="2954"/>
      <c r="O156" s="2954"/>
      <c r="P156" s="2954"/>
      <c r="Q156" s="2954"/>
      <c r="R156" s="2954"/>
      <c r="S156" s="2954"/>
      <c r="T156" s="2955"/>
      <c r="U156" s="2934"/>
      <c r="V156" s="2935"/>
      <c r="W156" s="2935"/>
      <c r="X156" s="2935"/>
      <c r="Y156" s="2935"/>
      <c r="Z156" s="2935"/>
      <c r="AA156" s="2935"/>
      <c r="AB156" s="2935"/>
      <c r="AC156" s="2935"/>
      <c r="AD156" s="2935"/>
      <c r="AE156" s="2936"/>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51" t="s">
        <v>307</v>
      </c>
      <c r="D157" s="2952"/>
      <c r="E157" s="2895" t="s">
        <v>2116</v>
      </c>
      <c r="F157" s="2895"/>
      <c r="G157" s="2895"/>
      <c r="H157" s="2895"/>
      <c r="I157" s="2895"/>
      <c r="J157" s="2895"/>
      <c r="K157" s="2895"/>
      <c r="L157" s="2895"/>
      <c r="M157" s="2953"/>
      <c r="N157" s="2954"/>
      <c r="O157" s="2954"/>
      <c r="P157" s="2954"/>
      <c r="Q157" s="2954"/>
      <c r="R157" s="2954"/>
      <c r="S157" s="2954"/>
      <c r="T157" s="2955"/>
      <c r="U157" s="2934"/>
      <c r="V157" s="2935"/>
      <c r="W157" s="2935"/>
      <c r="X157" s="2935"/>
      <c r="Y157" s="2935"/>
      <c r="Z157" s="2935"/>
      <c r="AA157" s="2935"/>
      <c r="AB157" s="2935"/>
      <c r="AC157" s="2935"/>
      <c r="AD157" s="2935"/>
      <c r="AE157" s="2936"/>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48" t="s">
        <v>307</v>
      </c>
      <c r="D158" s="2949"/>
      <c r="E158" s="2895" t="s">
        <v>2116</v>
      </c>
      <c r="F158" s="2895"/>
      <c r="G158" s="2895"/>
      <c r="H158" s="2895"/>
      <c r="I158" s="2895"/>
      <c r="J158" s="2895"/>
      <c r="K158" s="2895"/>
      <c r="L158" s="2895"/>
      <c r="M158" s="2953"/>
      <c r="N158" s="2954"/>
      <c r="O158" s="2954"/>
      <c r="P158" s="2954"/>
      <c r="Q158" s="2954"/>
      <c r="R158" s="2954"/>
      <c r="S158" s="2954"/>
      <c r="T158" s="2955"/>
      <c r="U158" s="2934"/>
      <c r="V158" s="2935"/>
      <c r="W158" s="2935"/>
      <c r="X158" s="2935"/>
      <c r="Y158" s="2935"/>
      <c r="Z158" s="2935"/>
      <c r="AA158" s="2935"/>
      <c r="AB158" s="2935"/>
      <c r="AC158" s="2935"/>
      <c r="AD158" s="2935"/>
      <c r="AE158" s="2936"/>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67" t="s">
        <v>307</v>
      </c>
      <c r="D159" s="2968"/>
      <c r="E159" s="2901" t="s">
        <v>2116</v>
      </c>
      <c r="F159" s="2901"/>
      <c r="G159" s="2901"/>
      <c r="H159" s="2901"/>
      <c r="I159" s="2901"/>
      <c r="J159" s="2901"/>
      <c r="K159" s="2901"/>
      <c r="L159" s="2901"/>
      <c r="M159" s="2969"/>
      <c r="N159" s="2970"/>
      <c r="O159" s="2970"/>
      <c r="P159" s="2970"/>
      <c r="Q159" s="2970"/>
      <c r="R159" s="2970"/>
      <c r="S159" s="2970"/>
      <c r="T159" s="2971"/>
      <c r="U159" s="2972"/>
      <c r="V159" s="2973"/>
      <c r="W159" s="2973"/>
      <c r="X159" s="2973"/>
      <c r="Y159" s="2973"/>
      <c r="Z159" s="2973"/>
      <c r="AA159" s="2973"/>
      <c r="AB159" s="2973"/>
      <c r="AC159" s="2973"/>
      <c r="AD159" s="2973"/>
      <c r="AE159" s="2974"/>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75" t="s">
        <v>2134</v>
      </c>
      <c r="D160" s="2976"/>
      <c r="E160" s="2976"/>
      <c r="F160" s="2976"/>
      <c r="G160" s="2976"/>
      <c r="H160" s="2976"/>
      <c r="I160" s="2976"/>
      <c r="J160" s="2976"/>
      <c r="K160" s="2976"/>
      <c r="L160" s="2976"/>
      <c r="M160" s="2977"/>
      <c r="N160" s="2978">
        <f>SUM(N152:T159)</f>
        <v>4683492</v>
      </c>
      <c r="O160" s="2979"/>
      <c r="P160" s="2979"/>
      <c r="Q160" s="2979"/>
      <c r="R160" s="2979"/>
      <c r="S160" s="2979"/>
      <c r="T160" s="2980"/>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80" t="s">
        <v>2135</v>
      </c>
      <c r="D161" s="2781"/>
      <c r="E161" s="2781"/>
      <c r="F161" s="2781"/>
      <c r="G161" s="2781"/>
      <c r="H161" s="2781"/>
      <c r="I161" s="2781"/>
      <c r="J161" s="2781"/>
      <c r="K161" s="2781"/>
      <c r="L161" s="2781"/>
      <c r="M161" s="2781"/>
      <c r="N161" s="2956">
        <f>(N150-N160)/J29</f>
        <v>-38207.56923076923</v>
      </c>
      <c r="O161" s="2956"/>
      <c r="P161" s="2956"/>
      <c r="Q161" s="2956"/>
      <c r="R161" s="2956"/>
      <c r="S161" s="2956"/>
      <c r="T161" s="2957"/>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58" t="s">
        <v>2136</v>
      </c>
      <c r="C164" s="2959"/>
      <c r="D164" s="2959"/>
      <c r="E164" s="2959"/>
      <c r="F164" s="2959"/>
      <c r="G164" s="2959"/>
      <c r="H164" s="2959"/>
      <c r="I164" s="2959"/>
      <c r="J164" s="2959"/>
      <c r="K164" s="2959"/>
      <c r="L164" s="2959"/>
      <c r="M164" s="2959"/>
      <c r="N164" s="2959"/>
      <c r="O164" s="2959"/>
      <c r="P164" s="2959"/>
      <c r="Q164" s="2959"/>
      <c r="R164" s="2959"/>
      <c r="S164" s="2959"/>
      <c r="T164" s="2959"/>
      <c r="U164" s="2959"/>
      <c r="V164" s="2959"/>
      <c r="W164" s="2959"/>
      <c r="X164" s="2959"/>
      <c r="Y164" s="2959"/>
      <c r="Z164" s="2959"/>
      <c r="AA164" s="2959"/>
      <c r="AB164" s="2959"/>
      <c r="AC164" s="2959"/>
      <c r="AD164" s="2959"/>
      <c r="AE164" s="2959"/>
      <c r="AF164" s="2959"/>
      <c r="AG164" s="2959"/>
      <c r="AH164" s="2959"/>
      <c r="AI164" s="2959"/>
      <c r="AJ164" s="2959"/>
      <c r="AK164" s="2959"/>
      <c r="AL164" s="2959"/>
      <c r="AM164" s="2959"/>
      <c r="AN164" s="2959"/>
      <c r="AO164" s="2959"/>
      <c r="AP164" s="2959"/>
      <c r="AQ164" s="2959"/>
      <c r="AR164" s="2959"/>
      <c r="AS164" s="2959"/>
      <c r="AT164" s="2959"/>
      <c r="AU164" s="2959"/>
      <c r="AV164" s="2959"/>
      <c r="AW164" s="2959"/>
      <c r="AX164" s="2959"/>
      <c r="AY164" s="2959"/>
      <c r="AZ164" s="2959"/>
      <c r="BA164" s="2959"/>
      <c r="BB164" s="2959"/>
      <c r="BC164" s="2959"/>
      <c r="BD164" s="2960"/>
      <c r="BE164" s="1534"/>
    </row>
    <row r="165" spans="1:57" ht="15.75" customHeight="1">
      <c r="A165" s="1817"/>
      <c r="B165" s="2961"/>
      <c r="C165" s="2962"/>
      <c r="D165" s="2962"/>
      <c r="E165" s="2962"/>
      <c r="F165" s="2962"/>
      <c r="G165" s="2962"/>
      <c r="H165" s="2962"/>
      <c r="I165" s="2962"/>
      <c r="J165" s="2962"/>
      <c r="K165" s="2962"/>
      <c r="L165" s="2962"/>
      <c r="M165" s="2962"/>
      <c r="N165" s="2962"/>
      <c r="O165" s="2962"/>
      <c r="P165" s="2962"/>
      <c r="Q165" s="2962"/>
      <c r="R165" s="2962"/>
      <c r="S165" s="2962"/>
      <c r="T165" s="2962"/>
      <c r="U165" s="2962"/>
      <c r="V165" s="2962"/>
      <c r="W165" s="2962"/>
      <c r="X165" s="2962"/>
      <c r="Y165" s="2962"/>
      <c r="Z165" s="2962"/>
      <c r="AA165" s="2962"/>
      <c r="AB165" s="2962"/>
      <c r="AC165" s="2962"/>
      <c r="AD165" s="2962"/>
      <c r="AE165" s="2962"/>
      <c r="AF165" s="2962"/>
      <c r="AG165" s="2962"/>
      <c r="AH165" s="2962"/>
      <c r="AI165" s="2962"/>
      <c r="AJ165" s="2962"/>
      <c r="AK165" s="2962"/>
      <c r="AL165" s="2962"/>
      <c r="AM165" s="2962"/>
      <c r="AN165" s="2962"/>
      <c r="AO165" s="2962"/>
      <c r="AP165" s="2962"/>
      <c r="AQ165" s="2962"/>
      <c r="AR165" s="2962"/>
      <c r="AS165" s="2962"/>
      <c r="AT165" s="2962"/>
      <c r="AU165" s="2962"/>
      <c r="AV165" s="2962"/>
      <c r="AW165" s="2962"/>
      <c r="AX165" s="2962"/>
      <c r="AY165" s="2962"/>
      <c r="AZ165" s="2962"/>
      <c r="BA165" s="2962"/>
      <c r="BB165" s="2962"/>
      <c r="BC165" s="2962"/>
      <c r="BD165" s="2963"/>
      <c r="BE165" s="1534"/>
    </row>
    <row r="166" spans="1:57" ht="15.75" customHeight="1">
      <c r="A166" s="1817"/>
      <c r="B166" s="2964" t="s">
        <v>2137</v>
      </c>
      <c r="C166" s="2965"/>
      <c r="D166" s="2965"/>
      <c r="E166" s="2965"/>
      <c r="F166" s="2965"/>
      <c r="G166" s="2965"/>
      <c r="H166" s="2965"/>
      <c r="I166" s="2965"/>
      <c r="J166" s="2965"/>
      <c r="K166" s="2965"/>
      <c r="L166" s="2965"/>
      <c r="M166" s="2965"/>
      <c r="N166" s="2965"/>
      <c r="O166" s="2965"/>
      <c r="P166" s="2965"/>
      <c r="Q166" s="2965"/>
      <c r="R166" s="2965"/>
      <c r="S166" s="2965"/>
      <c r="T166" s="2965"/>
      <c r="U166" s="2965"/>
      <c r="V166" s="2965"/>
      <c r="W166" s="2965"/>
      <c r="X166" s="2965"/>
      <c r="Y166" s="2965"/>
      <c r="Z166" s="2965"/>
      <c r="AA166" s="2965"/>
      <c r="AB166" s="2965"/>
      <c r="AC166" s="2965"/>
      <c r="AD166" s="2965"/>
      <c r="AE166" s="2965"/>
      <c r="AF166" s="2965"/>
      <c r="AG166" s="2965"/>
      <c r="AH166" s="2965"/>
      <c r="AI166" s="2965"/>
      <c r="AJ166" s="2965"/>
      <c r="AK166" s="2965"/>
      <c r="AL166" s="2965"/>
      <c r="AM166" s="2965"/>
      <c r="AN166" s="2965"/>
      <c r="AO166" s="2965"/>
      <c r="AP166" s="2965"/>
      <c r="AQ166" s="2965"/>
      <c r="AR166" s="2965"/>
      <c r="AS166" s="2965"/>
      <c r="AT166" s="2965"/>
      <c r="AU166" s="2965"/>
      <c r="AV166" s="2965"/>
      <c r="AW166" s="2965"/>
      <c r="AX166" s="2965"/>
      <c r="AY166" s="2965"/>
      <c r="AZ166" s="2965"/>
      <c r="BA166" s="2965"/>
      <c r="BB166" s="2965"/>
      <c r="BC166" s="2965"/>
      <c r="BD166" s="2966"/>
      <c r="BE166" s="1534"/>
    </row>
    <row r="167" spans="1:57" ht="15.75" customHeight="1">
      <c r="A167" s="1817"/>
      <c r="B167" s="2964" t="s">
        <v>2138</v>
      </c>
      <c r="C167" s="2965"/>
      <c r="D167" s="2965"/>
      <c r="E167" s="2965"/>
      <c r="F167" s="2965"/>
      <c r="G167" s="2965"/>
      <c r="H167" s="2965"/>
      <c r="I167" s="2965"/>
      <c r="J167" s="2965"/>
      <c r="K167" s="2965"/>
      <c r="L167" s="2965"/>
      <c r="M167" s="2965"/>
      <c r="N167" s="2965"/>
      <c r="O167" s="2965"/>
      <c r="P167" s="2965"/>
      <c r="Q167" s="2965"/>
      <c r="R167" s="2965"/>
      <c r="S167" s="2965"/>
      <c r="T167" s="2965"/>
      <c r="U167" s="2965"/>
      <c r="V167" s="2965"/>
      <c r="W167" s="2965"/>
      <c r="X167" s="2965"/>
      <c r="Y167" s="2965"/>
      <c r="Z167" s="2965"/>
      <c r="AA167" s="2965"/>
      <c r="AB167" s="2965"/>
      <c r="AC167" s="2965"/>
      <c r="AD167" s="2965"/>
      <c r="AE167" s="2965"/>
      <c r="AF167" s="2965"/>
      <c r="AG167" s="2965"/>
      <c r="AH167" s="2965"/>
      <c r="AI167" s="2965"/>
      <c r="AJ167" s="2965"/>
      <c r="AK167" s="2965"/>
      <c r="AL167" s="2965"/>
      <c r="AM167" s="2965"/>
      <c r="AN167" s="2965"/>
      <c r="AO167" s="2965"/>
      <c r="AP167" s="2965"/>
      <c r="AQ167" s="2965"/>
      <c r="AR167" s="2965"/>
      <c r="AS167" s="2965"/>
      <c r="AT167" s="2965"/>
      <c r="AU167" s="2965"/>
      <c r="AV167" s="2965"/>
      <c r="AW167" s="2965"/>
      <c r="AX167" s="2965"/>
      <c r="AY167" s="2965"/>
      <c r="AZ167" s="2965"/>
      <c r="BA167" s="2965"/>
      <c r="BB167" s="2965"/>
      <c r="BC167" s="2965"/>
      <c r="BD167" s="2966"/>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87" t="s">
        <v>2139</v>
      </c>
      <c r="C169" s="2988"/>
      <c r="D169" s="2988"/>
      <c r="E169" s="2988"/>
      <c r="F169" s="2988"/>
      <c r="G169" s="2988"/>
      <c r="H169" s="2988"/>
      <c r="I169" s="2988"/>
      <c r="J169" s="2988"/>
      <c r="K169" s="2988"/>
      <c r="L169" s="2988"/>
      <c r="M169" s="2988"/>
      <c r="N169" s="2988"/>
      <c r="O169" s="2988"/>
      <c r="P169" s="2988"/>
      <c r="Q169" s="2988"/>
      <c r="R169" s="2988"/>
      <c r="S169" s="2988"/>
      <c r="T169" s="2988"/>
      <c r="U169" s="2988"/>
      <c r="V169" s="2988"/>
      <c r="W169" s="2988"/>
      <c r="X169" s="2988"/>
      <c r="Y169" s="2988"/>
      <c r="Z169" s="2988"/>
      <c r="AA169" s="2988"/>
      <c r="AB169" s="2988"/>
      <c r="AC169" s="2988"/>
      <c r="AD169" s="2988"/>
      <c r="AE169" s="2988"/>
      <c r="AF169" s="2988"/>
      <c r="AG169" s="2988"/>
      <c r="AH169" s="2988"/>
      <c r="AI169" s="2988"/>
      <c r="AJ169" s="2988"/>
      <c r="AK169" s="2988"/>
      <c r="AL169" s="2988"/>
      <c r="AM169" s="2988"/>
      <c r="AN169" s="2988"/>
      <c r="AO169" s="2988"/>
      <c r="AP169" s="2988"/>
      <c r="AQ169" s="2988"/>
      <c r="AR169" s="2988"/>
      <c r="AS169" s="2988"/>
      <c r="AT169" s="2988"/>
      <c r="AU169" s="2988"/>
      <c r="AV169" s="2988"/>
      <c r="AW169" s="2988"/>
      <c r="AX169" s="2988"/>
      <c r="AY169" s="2988"/>
      <c r="AZ169" s="2988"/>
      <c r="BA169" s="2988"/>
      <c r="BB169" s="2988"/>
      <c r="BC169" s="2988"/>
      <c r="BD169" s="2989"/>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2140</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90" t="s">
        <v>2141</v>
      </c>
      <c r="I173" s="2990"/>
      <c r="J173" s="2990"/>
      <c r="K173" s="2990"/>
      <c r="L173" s="2990"/>
      <c r="M173" s="2990"/>
      <c r="N173" s="2990"/>
      <c r="O173" s="2990"/>
      <c r="P173" s="2990"/>
      <c r="Q173" s="2990"/>
      <c r="R173" s="2990"/>
      <c r="S173" s="2990"/>
      <c r="T173" s="2990"/>
      <c r="U173" s="2990"/>
      <c r="V173" s="2990"/>
      <c r="W173" s="2990"/>
      <c r="X173" s="2990"/>
      <c r="Y173" s="2990"/>
      <c r="Z173" s="2990"/>
      <c r="AA173" s="2990"/>
      <c r="AB173" s="2990"/>
      <c r="AC173" s="2990"/>
      <c r="AD173" s="2990"/>
      <c r="AE173" s="2990"/>
      <c r="AF173" s="2990"/>
      <c r="AG173" s="2990"/>
      <c r="AH173" s="2990"/>
      <c r="AI173" s="2990"/>
      <c r="AJ173" s="2990"/>
      <c r="AK173" s="2990"/>
      <c r="AL173" s="2990"/>
      <c r="AM173" s="2990"/>
      <c r="AN173" s="2990"/>
      <c r="AO173" s="2990"/>
      <c r="AP173" s="2990"/>
      <c r="AQ173" s="2990"/>
      <c r="AR173" s="2990"/>
      <c r="AS173" s="2990"/>
      <c r="AT173" s="2990"/>
      <c r="AU173" s="2990"/>
      <c r="AV173" s="2990"/>
      <c r="AW173" s="2990"/>
      <c r="AX173" s="2990"/>
      <c r="AY173" s="2990"/>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991" t="s">
        <v>2142</v>
      </c>
      <c r="I175" s="2991"/>
      <c r="J175" s="2991"/>
      <c r="K175" s="2991"/>
      <c r="L175" s="2991"/>
      <c r="M175" s="2991"/>
      <c r="N175" s="2991"/>
      <c r="O175" s="2991"/>
      <c r="P175" s="2991"/>
      <c r="Q175" s="2991"/>
      <c r="R175" s="2991"/>
      <c r="S175" s="2991"/>
      <c r="T175" s="2991"/>
      <c r="U175" s="2991"/>
      <c r="V175" s="2991"/>
      <c r="W175" s="2991"/>
      <c r="X175" s="2991"/>
      <c r="Y175" s="2991"/>
      <c r="Z175" s="2991"/>
      <c r="AA175" s="2991"/>
      <c r="AB175" s="2991"/>
      <c r="AC175" s="2991"/>
      <c r="AD175" s="2991"/>
      <c r="AE175" s="2991"/>
      <c r="AF175" s="2991"/>
      <c r="AG175" s="2991"/>
      <c r="AH175" s="2991"/>
      <c r="AI175" s="2991"/>
      <c r="AJ175" s="2991"/>
      <c r="AK175" s="2991"/>
      <c r="AL175" s="2991"/>
      <c r="AM175" s="2991"/>
      <c r="AN175" s="2991"/>
      <c r="AO175" s="2991"/>
      <c r="AP175" s="2991"/>
      <c r="AQ175" s="2991"/>
      <c r="AR175" s="2991"/>
      <c r="AS175" s="2991"/>
      <c r="AT175" s="2991"/>
      <c r="AU175" s="2991"/>
      <c r="AV175" s="2991"/>
      <c r="AW175" s="2991"/>
      <c r="AX175" s="2991"/>
      <c r="AY175" s="2991"/>
      <c r="AZ175" s="2991"/>
      <c r="BA175" s="1554"/>
      <c r="BB175" s="1554"/>
      <c r="BC175" s="1554"/>
      <c r="BD175" s="1534"/>
      <c r="BE175" s="1534"/>
    </row>
    <row r="176" spans="1:57" ht="15.75" customHeight="1">
      <c r="A176" s="1817"/>
      <c r="B176" s="1527"/>
      <c r="C176" s="1554"/>
      <c r="D176" s="1554"/>
      <c r="E176" s="1554"/>
      <c r="F176" s="1554"/>
      <c r="G176" s="1554"/>
      <c r="H176" s="2991"/>
      <c r="I176" s="2991"/>
      <c r="J176" s="2991"/>
      <c r="K176" s="2991"/>
      <c r="L176" s="2991"/>
      <c r="M176" s="2991"/>
      <c r="N176" s="2991"/>
      <c r="O176" s="2991"/>
      <c r="P176" s="2991"/>
      <c r="Q176" s="2991"/>
      <c r="R176" s="2991"/>
      <c r="S176" s="2991"/>
      <c r="T176" s="2991"/>
      <c r="U176" s="2991"/>
      <c r="V176" s="2991"/>
      <c r="W176" s="2991"/>
      <c r="X176" s="2991"/>
      <c r="Y176" s="2991"/>
      <c r="Z176" s="2991"/>
      <c r="AA176" s="2991"/>
      <c r="AB176" s="2991"/>
      <c r="AC176" s="2991"/>
      <c r="AD176" s="2991"/>
      <c r="AE176" s="2991"/>
      <c r="AF176" s="2991"/>
      <c r="AG176" s="2991"/>
      <c r="AH176" s="2991"/>
      <c r="AI176" s="2991"/>
      <c r="AJ176" s="2991"/>
      <c r="AK176" s="2991"/>
      <c r="AL176" s="2991"/>
      <c r="AM176" s="2991"/>
      <c r="AN176" s="2991"/>
      <c r="AO176" s="2991"/>
      <c r="AP176" s="2991"/>
      <c r="AQ176" s="2991"/>
      <c r="AR176" s="2991"/>
      <c r="AS176" s="2991"/>
      <c r="AT176" s="2991"/>
      <c r="AU176" s="2991"/>
      <c r="AV176" s="2991"/>
      <c r="AW176" s="2991"/>
      <c r="AX176" s="2991"/>
      <c r="AY176" s="2991"/>
      <c r="AZ176" s="2991"/>
      <c r="BA176" s="1554"/>
      <c r="BB176" s="1554"/>
      <c r="BC176" s="1554"/>
      <c r="BD176" s="1534"/>
      <c r="BE176" s="1534"/>
    </row>
    <row r="177" spans="1:57" ht="15.75" customHeight="1">
      <c r="A177" s="1817"/>
      <c r="B177" s="1527"/>
      <c r="C177" s="1554"/>
      <c r="D177" s="1554"/>
      <c r="E177" s="1554"/>
      <c r="F177" s="1554"/>
      <c r="G177" s="1554"/>
      <c r="H177" s="2991"/>
      <c r="I177" s="2991"/>
      <c r="J177" s="2991"/>
      <c r="K177" s="2991"/>
      <c r="L177" s="2991"/>
      <c r="M177" s="2991"/>
      <c r="N177" s="2991"/>
      <c r="O177" s="2991"/>
      <c r="P177" s="2991"/>
      <c r="Q177" s="2991"/>
      <c r="R177" s="2991"/>
      <c r="S177" s="2991"/>
      <c r="T177" s="2991"/>
      <c r="U177" s="2991"/>
      <c r="V177" s="2991"/>
      <c r="W177" s="2991"/>
      <c r="X177" s="2991"/>
      <c r="Y177" s="2991"/>
      <c r="Z177" s="2991"/>
      <c r="AA177" s="2991"/>
      <c r="AB177" s="2991"/>
      <c r="AC177" s="2991"/>
      <c r="AD177" s="2991"/>
      <c r="AE177" s="2991"/>
      <c r="AF177" s="2991"/>
      <c r="AG177" s="2991"/>
      <c r="AH177" s="2991"/>
      <c r="AI177" s="2991"/>
      <c r="AJ177" s="2991"/>
      <c r="AK177" s="2991"/>
      <c r="AL177" s="2991"/>
      <c r="AM177" s="2991"/>
      <c r="AN177" s="2991"/>
      <c r="AO177" s="2991"/>
      <c r="AP177" s="2991"/>
      <c r="AQ177" s="2991"/>
      <c r="AR177" s="2991"/>
      <c r="AS177" s="2991"/>
      <c r="AT177" s="2991"/>
      <c r="AU177" s="2991"/>
      <c r="AV177" s="2991"/>
      <c r="AW177" s="2991"/>
      <c r="AX177" s="2991"/>
      <c r="AY177" s="2991"/>
      <c r="AZ177" s="2991"/>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992" t="s">
        <v>2143</v>
      </c>
      <c r="I180" s="2992"/>
      <c r="J180" s="2992"/>
      <c r="K180" s="2992"/>
      <c r="L180" s="2992"/>
      <c r="M180" s="2992"/>
      <c r="N180" s="2992"/>
      <c r="O180" s="2992"/>
      <c r="P180" s="2992"/>
      <c r="Q180" s="2992"/>
      <c r="R180" s="2992"/>
      <c r="S180" s="2992"/>
      <c r="T180" s="2992"/>
      <c r="U180" s="2992"/>
      <c r="V180" s="2992"/>
      <c r="W180" s="2992"/>
      <c r="X180" s="2992"/>
      <c r="Y180" s="2992"/>
      <c r="Z180" s="2992"/>
      <c r="AA180" s="2992"/>
      <c r="AB180" s="2992"/>
      <c r="AC180" s="2992"/>
      <c r="AD180" s="2992"/>
      <c r="AE180" s="2992"/>
      <c r="AF180" s="2992"/>
      <c r="AG180" s="2992"/>
      <c r="AH180" s="2992"/>
      <c r="AI180" s="2992"/>
      <c r="AJ180" s="2992"/>
      <c r="AK180" s="2992"/>
      <c r="AL180" s="2992"/>
      <c r="AM180" s="2992"/>
      <c r="AN180" s="2992"/>
      <c r="AO180" s="2992"/>
      <c r="AP180" s="2992"/>
      <c r="AQ180" s="2992"/>
      <c r="AR180" s="2992"/>
      <c r="AS180" s="2992"/>
      <c r="AT180" s="2992"/>
      <c r="AU180" s="2992"/>
      <c r="AV180" s="2992"/>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85" t="s">
        <v>2144</v>
      </c>
      <c r="I182" s="2985"/>
      <c r="J182" s="2985"/>
      <c r="K182" s="2985"/>
      <c r="L182" s="1563"/>
      <c r="M182" s="1563"/>
      <c r="N182" s="1563"/>
      <c r="O182" s="1563"/>
      <c r="P182" s="1563"/>
      <c r="Q182" s="1563"/>
      <c r="R182" s="1563"/>
      <c r="S182" s="2982"/>
      <c r="T182" s="2983"/>
      <c r="U182" s="2983"/>
      <c r="V182" s="2983"/>
      <c r="W182" s="2983"/>
      <c r="X182" s="2983"/>
      <c r="Y182" s="2983"/>
      <c r="Z182" s="2983"/>
      <c r="AA182" s="2983"/>
      <c r="AB182" s="2983"/>
      <c r="AC182" s="2983"/>
      <c r="AD182" s="2983"/>
      <c r="AE182" s="2983"/>
      <c r="AF182" s="2983"/>
      <c r="AG182" s="2983"/>
      <c r="AH182" s="2983"/>
      <c r="AI182" s="2983"/>
      <c r="AJ182" s="2984"/>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85" t="s">
        <v>2145</v>
      </c>
      <c r="I184" s="2985"/>
      <c r="J184" s="2985"/>
      <c r="K184" s="1565"/>
      <c r="L184" s="1563"/>
      <c r="M184" s="1563"/>
      <c r="N184" s="1563"/>
      <c r="O184" s="1563"/>
      <c r="P184" s="1563"/>
      <c r="Q184" s="1563"/>
      <c r="R184" s="1563"/>
      <c r="S184" s="2982"/>
      <c r="T184" s="2983"/>
      <c r="U184" s="2983"/>
      <c r="V184" s="2983"/>
      <c r="W184" s="2983"/>
      <c r="X184" s="2983"/>
      <c r="Y184" s="2983"/>
      <c r="Z184" s="2983"/>
      <c r="AA184" s="2983"/>
      <c r="AB184" s="2983"/>
      <c r="AC184" s="2983"/>
      <c r="AD184" s="2983"/>
      <c r="AE184" s="2983"/>
      <c r="AF184" s="2983"/>
      <c r="AG184" s="2983"/>
      <c r="AH184" s="2983"/>
      <c r="AI184" s="2983"/>
      <c r="AJ184" s="2984"/>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85" t="s">
        <v>463</v>
      </c>
      <c r="I186" s="2985"/>
      <c r="J186" s="1565"/>
      <c r="K186" s="1565"/>
      <c r="L186" s="1563"/>
      <c r="M186" s="1563"/>
      <c r="N186" s="1563"/>
      <c r="O186" s="1563"/>
      <c r="P186" s="1563"/>
      <c r="Q186" s="1563"/>
      <c r="R186" s="1563"/>
      <c r="S186" s="2982"/>
      <c r="T186" s="2983"/>
      <c r="U186" s="2983"/>
      <c r="V186" s="2983"/>
      <c r="W186" s="2983"/>
      <c r="X186" s="2983"/>
      <c r="Y186" s="2983"/>
      <c r="Z186" s="2983"/>
      <c r="AA186" s="2983"/>
      <c r="AB186" s="2983"/>
      <c r="AC186" s="2983"/>
      <c r="AD186" s="2983"/>
      <c r="AE186" s="2983"/>
      <c r="AF186" s="2983"/>
      <c r="AG186" s="2983"/>
      <c r="AH186" s="2983"/>
      <c r="AI186" s="2983"/>
      <c r="AJ186" s="2984"/>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86" t="s">
        <v>2146</v>
      </c>
      <c r="I188" s="2986"/>
      <c r="J188" s="2986"/>
      <c r="K188" s="2986"/>
      <c r="L188" s="2986"/>
      <c r="M188" s="2986"/>
      <c r="N188" s="2986"/>
      <c r="O188" s="2986"/>
      <c r="P188" s="1563"/>
      <c r="Q188" s="1563"/>
      <c r="R188" s="1563"/>
      <c r="S188" s="2982"/>
      <c r="T188" s="2983"/>
      <c r="U188" s="2983"/>
      <c r="V188" s="2983"/>
      <c r="W188" s="2983"/>
      <c r="X188" s="2983"/>
      <c r="Y188" s="2983"/>
      <c r="Z188" s="2983"/>
      <c r="AA188" s="2983"/>
      <c r="AB188" s="2983"/>
      <c r="AC188" s="2983"/>
      <c r="AD188" s="2983"/>
      <c r="AE188" s="2983"/>
      <c r="AF188" s="2983"/>
      <c r="AG188" s="2983"/>
      <c r="AH188" s="2983"/>
      <c r="AI188" s="2983"/>
      <c r="AJ188" s="2984"/>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81" t="s">
        <v>2147</v>
      </c>
      <c r="I190" s="2981"/>
      <c r="J190" s="1563"/>
      <c r="K190" s="1563"/>
      <c r="L190" s="1563"/>
      <c r="M190" s="1563"/>
      <c r="N190" s="1563"/>
      <c r="O190" s="1563"/>
      <c r="P190" s="1563"/>
      <c r="Q190" s="1563"/>
      <c r="R190" s="1563"/>
      <c r="S190" s="2982"/>
      <c r="T190" s="2983"/>
      <c r="U190" s="2983"/>
      <c r="V190" s="2983"/>
      <c r="W190" s="2983"/>
      <c r="X190" s="2983"/>
      <c r="Y190" s="2983"/>
      <c r="Z190" s="2983"/>
      <c r="AA190" s="2983"/>
      <c r="AB190" s="2983"/>
      <c r="AC190" s="2983"/>
      <c r="AD190" s="2983"/>
      <c r="AE190" s="2983"/>
      <c r="AF190" s="2983"/>
      <c r="AG190" s="2983"/>
      <c r="AH190" s="2983"/>
      <c r="AI190" s="2983"/>
      <c r="AJ190" s="2984"/>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992" zoomScaleNormal="100" zoomScaleSheetLayoutView="100" workbookViewId="0">
      <selection activeCell="AE64" sqref="AE6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4"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39" t="s">
        <v>1556</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row>
    <row r="2" spans="1:42" s="926" customFormat="1" ht="12.75" customHeight="1" thickBot="1">
      <c r="A2" s="3240"/>
      <c r="B2" s="3240"/>
      <c r="C2" s="3240"/>
      <c r="D2" s="3240"/>
      <c r="E2" s="3240"/>
      <c r="F2" s="3240"/>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1557</v>
      </c>
      <c r="B4" s="931" t="s">
        <v>1558</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1559</v>
      </c>
      <c r="B7" s="931" t="s">
        <v>1560</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15" t="s">
        <v>1561</v>
      </c>
      <c r="AF7" s="3215"/>
      <c r="AG7" s="3215"/>
      <c r="AH7" s="3215"/>
      <c r="AI7" s="3215"/>
      <c r="AJ7" s="3215"/>
      <c r="AK7" s="3215"/>
      <c r="AL7" s="932"/>
      <c r="AM7" s="932"/>
      <c r="AN7" s="928"/>
    </row>
    <row r="8" spans="1:42" s="929" customFormat="1" ht="12.75" customHeight="1">
      <c r="A8" s="930"/>
      <c r="B8" s="931" t="s">
        <v>2225</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1562</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24" t="s">
        <v>625</v>
      </c>
      <c r="C12" s="3224"/>
      <c r="D12" s="939"/>
      <c r="E12" s="940" t="s">
        <v>1563</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241"/>
      <c r="AH12" s="3241"/>
      <c r="AI12" s="3241"/>
      <c r="AJ12" s="3242"/>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24" t="s">
        <v>625</v>
      </c>
      <c r="C15" s="3224"/>
      <c r="D15" s="939"/>
      <c r="E15" s="3243" t="s">
        <v>1564</v>
      </c>
      <c r="F15" s="3244"/>
      <c r="G15" s="3244"/>
      <c r="H15" s="3244"/>
      <c r="I15" s="3244"/>
      <c r="J15" s="3244"/>
      <c r="K15" s="3244"/>
      <c r="L15" s="3244"/>
      <c r="M15" s="3244"/>
      <c r="N15" s="3244"/>
      <c r="O15" s="3244"/>
      <c r="P15" s="3244"/>
      <c r="Q15" s="3244"/>
      <c r="R15" s="3244"/>
      <c r="S15" s="3244"/>
      <c r="T15" s="3244"/>
      <c r="U15" s="3244"/>
      <c r="V15" s="3244"/>
      <c r="W15" s="3244"/>
      <c r="X15" s="3244"/>
      <c r="Y15" s="3244"/>
      <c r="Z15" s="3244"/>
      <c r="AA15" s="3244"/>
      <c r="AB15" s="3244"/>
      <c r="AC15" s="3244"/>
      <c r="AD15" s="3244"/>
      <c r="AE15" s="3244"/>
      <c r="AF15" s="3244"/>
      <c r="AG15" s="3244"/>
      <c r="AH15" s="3244"/>
      <c r="AI15" s="3244"/>
      <c r="AJ15" s="3245"/>
      <c r="AK15" s="932"/>
      <c r="AL15" s="932"/>
      <c r="AM15" s="932"/>
      <c r="AN15" s="928"/>
      <c r="AO15" s="942">
        <f>IF($B24="yes",20,0)</f>
        <v>0</v>
      </c>
      <c r="AP15" s="51"/>
    </row>
    <row r="16" spans="1:42" s="929" customFormat="1" ht="12.75" customHeight="1">
      <c r="A16" s="932"/>
      <c r="B16" s="932"/>
      <c r="C16" s="932"/>
      <c r="D16" s="943"/>
      <c r="E16" s="3246"/>
      <c r="F16" s="3247"/>
      <c r="G16" s="3247"/>
      <c r="H16" s="3247"/>
      <c r="I16" s="3247"/>
      <c r="J16" s="3247"/>
      <c r="K16" s="3247"/>
      <c r="L16" s="3247"/>
      <c r="M16" s="3247"/>
      <c r="N16" s="3247"/>
      <c r="O16" s="3247"/>
      <c r="P16" s="3247"/>
      <c r="Q16" s="3247"/>
      <c r="R16" s="3247"/>
      <c r="S16" s="3247"/>
      <c r="T16" s="3247"/>
      <c r="U16" s="3247"/>
      <c r="V16" s="3247"/>
      <c r="W16" s="3247"/>
      <c r="X16" s="3247"/>
      <c r="Y16" s="3247"/>
      <c r="Z16" s="3247"/>
      <c r="AA16" s="3247"/>
      <c r="AB16" s="3247"/>
      <c r="AC16" s="3247"/>
      <c r="AD16" s="3247"/>
      <c r="AE16" s="3247"/>
      <c r="AF16" s="3247"/>
      <c r="AG16" s="3247"/>
      <c r="AH16" s="3247"/>
      <c r="AI16" s="3247"/>
      <c r="AJ16" s="3248"/>
      <c r="AK16" s="932"/>
      <c r="AL16" s="932"/>
      <c r="AM16" s="932"/>
      <c r="AN16" s="928"/>
      <c r="AO16" s="929">
        <f>IF(SUM(AO12:AO15)&gt;20,20,(SUM(AO12:AO15)))</f>
        <v>0</v>
      </c>
      <c r="AP16" s="929" t="s">
        <v>1565</v>
      </c>
    </row>
    <row r="17" spans="1:42" s="929" customFormat="1" ht="12.75" customHeight="1">
      <c r="A17" s="932"/>
      <c r="B17" s="932"/>
      <c r="C17" s="932"/>
      <c r="D17" s="943"/>
      <c r="E17" s="3246"/>
      <c r="F17" s="3247"/>
      <c r="G17" s="3247"/>
      <c r="H17" s="3247"/>
      <c r="I17" s="3247"/>
      <c r="J17" s="3247"/>
      <c r="K17" s="3247"/>
      <c r="L17" s="3247"/>
      <c r="M17" s="3247"/>
      <c r="N17" s="3247"/>
      <c r="O17" s="3247"/>
      <c r="P17" s="3247"/>
      <c r="Q17" s="3247"/>
      <c r="R17" s="3247"/>
      <c r="S17" s="3247"/>
      <c r="T17" s="3247"/>
      <c r="U17" s="3247"/>
      <c r="V17" s="3247"/>
      <c r="W17" s="3247"/>
      <c r="X17" s="3247"/>
      <c r="Y17" s="3247"/>
      <c r="Z17" s="3247"/>
      <c r="AA17" s="3247"/>
      <c r="AB17" s="3247"/>
      <c r="AC17" s="3247"/>
      <c r="AD17" s="3247"/>
      <c r="AE17" s="3247"/>
      <c r="AF17" s="3247"/>
      <c r="AG17" s="3247"/>
      <c r="AH17" s="3247"/>
      <c r="AI17" s="3247"/>
      <c r="AJ17" s="3248"/>
      <c r="AK17" s="932"/>
      <c r="AL17" s="932"/>
      <c r="AM17" s="932"/>
      <c r="AN17" s="928"/>
    </row>
    <row r="18" spans="1:42" s="929" customFormat="1" ht="12.75" customHeight="1">
      <c r="A18" s="932"/>
      <c r="B18" s="932"/>
      <c r="C18" s="932"/>
      <c r="D18" s="943"/>
      <c r="E18" s="944" t="s">
        <v>1566</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250"/>
      <c r="F19" s="3251"/>
      <c r="G19" s="3251"/>
      <c r="H19" s="3251"/>
      <c r="I19" s="3251"/>
      <c r="J19" s="3251"/>
      <c r="K19" s="3251"/>
      <c r="L19" s="3251"/>
      <c r="M19" s="3251"/>
      <c r="N19" s="3251"/>
      <c r="O19" s="3251"/>
      <c r="P19" s="3251"/>
      <c r="Q19" s="3251"/>
      <c r="R19" s="3251"/>
      <c r="S19" s="3251"/>
      <c r="T19" s="3251"/>
      <c r="U19" s="3251"/>
      <c r="V19" s="3251"/>
      <c r="W19" s="3251"/>
      <c r="X19" s="3251"/>
      <c r="Y19" s="3251"/>
      <c r="Z19" s="3251"/>
      <c r="AA19" s="3251"/>
      <c r="AB19" s="3251"/>
      <c r="AC19" s="3251"/>
      <c r="AD19" s="3251"/>
      <c r="AE19" s="3251"/>
      <c r="AF19" s="3251"/>
      <c r="AG19" s="3251"/>
      <c r="AH19" s="3251"/>
      <c r="AI19" s="3251"/>
      <c r="AJ19" s="3252"/>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224" t="s">
        <v>625</v>
      </c>
      <c r="C21" s="3224"/>
      <c r="D21" s="939"/>
      <c r="E21" s="3253" t="s">
        <v>1567</v>
      </c>
      <c r="F21" s="3254"/>
      <c r="G21" s="3254"/>
      <c r="H21" s="3254"/>
      <c r="I21" s="3254"/>
      <c r="J21" s="3254"/>
      <c r="K21" s="3254"/>
      <c r="L21" s="3254"/>
      <c r="M21" s="3254"/>
      <c r="N21" s="3254"/>
      <c r="O21" s="3254"/>
      <c r="P21" s="3254"/>
      <c r="Q21" s="3254"/>
      <c r="R21" s="3254"/>
      <c r="S21" s="3254"/>
      <c r="T21" s="3254"/>
      <c r="U21" s="3254"/>
      <c r="V21" s="3254"/>
      <c r="W21" s="3254"/>
      <c r="X21" s="3254"/>
      <c r="Y21" s="3254"/>
      <c r="Z21" s="3254"/>
      <c r="AA21" s="3254"/>
      <c r="AB21" s="3254"/>
      <c r="AC21" s="3254"/>
      <c r="AD21" s="3254"/>
      <c r="AE21" s="3254"/>
      <c r="AF21" s="3254"/>
      <c r="AG21" s="3254"/>
      <c r="AH21" s="3254"/>
      <c r="AI21" s="3254"/>
      <c r="AJ21" s="3255"/>
      <c r="AK21" s="932"/>
      <c r="AL21" s="932"/>
      <c r="AM21" s="932"/>
      <c r="AN21" s="928"/>
      <c r="AO21" s="929">
        <f>SUM(AO20)</f>
        <v>0</v>
      </c>
      <c r="AP21" s="929" t="s">
        <v>1565</v>
      </c>
    </row>
    <row r="22" spans="1:42" s="929" customFormat="1" ht="12.75" customHeight="1">
      <c r="A22" s="932"/>
      <c r="B22" s="932"/>
      <c r="C22" s="932"/>
      <c r="D22" s="942"/>
      <c r="E22" s="3256"/>
      <c r="F22" s="3257"/>
      <c r="G22" s="3257"/>
      <c r="H22" s="3257"/>
      <c r="I22" s="3257"/>
      <c r="J22" s="3257"/>
      <c r="K22" s="3257"/>
      <c r="L22" s="3257"/>
      <c r="M22" s="3257"/>
      <c r="N22" s="3257"/>
      <c r="O22" s="3257"/>
      <c r="P22" s="3257"/>
      <c r="Q22" s="3257"/>
      <c r="R22" s="3257"/>
      <c r="S22" s="3257"/>
      <c r="T22" s="3257"/>
      <c r="U22" s="3257"/>
      <c r="V22" s="3257"/>
      <c r="W22" s="3257"/>
      <c r="X22" s="3257"/>
      <c r="Y22" s="3257"/>
      <c r="Z22" s="3257"/>
      <c r="AA22" s="3257"/>
      <c r="AB22" s="3257"/>
      <c r="AC22" s="3257"/>
      <c r="AD22" s="3257"/>
      <c r="AE22" s="3257"/>
      <c r="AF22" s="3257"/>
      <c r="AG22" s="3257"/>
      <c r="AH22" s="3257"/>
      <c r="AI22" s="3257"/>
      <c r="AJ22" s="3258"/>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224" t="s">
        <v>625</v>
      </c>
      <c r="C24" s="3224"/>
      <c r="D24" s="939"/>
      <c r="E24" s="3155" t="s">
        <v>1568</v>
      </c>
      <c r="F24" s="3156"/>
      <c r="G24" s="3156"/>
      <c r="H24" s="3156"/>
      <c r="I24" s="3156"/>
      <c r="J24" s="3156"/>
      <c r="K24" s="3156"/>
      <c r="L24" s="3156"/>
      <c r="M24" s="3156"/>
      <c r="N24" s="3156"/>
      <c r="O24" s="3156"/>
      <c r="P24" s="3156"/>
      <c r="Q24" s="3156"/>
      <c r="R24" s="3156"/>
      <c r="S24" s="3156"/>
      <c r="T24" s="3156"/>
      <c r="U24" s="3156"/>
      <c r="V24" s="3156"/>
      <c r="W24" s="3156"/>
      <c r="X24" s="3156"/>
      <c r="Y24" s="3156"/>
      <c r="Z24" s="3156"/>
      <c r="AA24" s="3156"/>
      <c r="AB24" s="3156"/>
      <c r="AC24" s="3156"/>
      <c r="AD24" s="3156"/>
      <c r="AE24" s="3156"/>
      <c r="AF24" s="3156"/>
      <c r="AG24" s="3156"/>
      <c r="AH24" s="3156"/>
      <c r="AI24" s="3156"/>
      <c r="AJ24" s="3157"/>
      <c r="AK24" s="932"/>
      <c r="AL24" s="932"/>
      <c r="AM24" s="932"/>
      <c r="AN24" s="928"/>
      <c r="AO24" s="942">
        <f>IF($B39="yes",6,0)</f>
        <v>0</v>
      </c>
    </row>
    <row r="25" spans="1:42" s="929" customFormat="1" ht="12.75" customHeight="1">
      <c r="A25" s="932"/>
      <c r="B25" s="932"/>
      <c r="C25" s="932"/>
      <c r="D25" s="942"/>
      <c r="E25" s="3225"/>
      <c r="F25" s="3226"/>
      <c r="G25" s="3226"/>
      <c r="H25" s="3226"/>
      <c r="I25" s="3226"/>
      <c r="J25" s="3226"/>
      <c r="K25" s="3226"/>
      <c r="L25" s="3226"/>
      <c r="M25" s="3226"/>
      <c r="N25" s="3226"/>
      <c r="O25" s="3226"/>
      <c r="P25" s="3226"/>
      <c r="Q25" s="3226"/>
      <c r="R25" s="3226"/>
      <c r="S25" s="3226"/>
      <c r="T25" s="3226"/>
      <c r="U25" s="3226"/>
      <c r="V25" s="3226"/>
      <c r="W25" s="3226"/>
      <c r="X25" s="3226"/>
      <c r="Y25" s="3226"/>
      <c r="Z25" s="3226"/>
      <c r="AA25" s="3226"/>
      <c r="AB25" s="3226"/>
      <c r="AC25" s="3226"/>
      <c r="AD25" s="3226"/>
      <c r="AE25" s="3226"/>
      <c r="AF25" s="3226"/>
      <c r="AG25" s="3226"/>
      <c r="AH25" s="3226"/>
      <c r="AI25" s="3226"/>
      <c r="AJ25" s="3227"/>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1569</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24" t="s">
        <v>625</v>
      </c>
      <c r="C29" s="3224"/>
      <c r="D29" s="939"/>
      <c r="E29" s="3155" t="s">
        <v>1570</v>
      </c>
      <c r="F29" s="3156"/>
      <c r="G29" s="3156"/>
      <c r="H29" s="3156"/>
      <c r="I29" s="3156"/>
      <c r="J29" s="3156"/>
      <c r="K29" s="3156"/>
      <c r="L29" s="3156"/>
      <c r="M29" s="3156"/>
      <c r="N29" s="3156"/>
      <c r="O29" s="3156"/>
      <c r="P29" s="3156"/>
      <c r="Q29" s="3156"/>
      <c r="R29" s="3156"/>
      <c r="S29" s="3156"/>
      <c r="T29" s="3156"/>
      <c r="U29" s="3156"/>
      <c r="V29" s="3156"/>
      <c r="W29" s="3156"/>
      <c r="X29" s="3156"/>
      <c r="Y29" s="3156"/>
      <c r="Z29" s="3156"/>
      <c r="AA29" s="3156"/>
      <c r="AB29" s="3156"/>
      <c r="AC29" s="3156"/>
      <c r="AD29" s="3156"/>
      <c r="AE29" s="3156"/>
      <c r="AF29" s="3156"/>
      <c r="AG29" s="3156"/>
      <c r="AH29" s="3156"/>
      <c r="AI29" s="3156"/>
      <c r="AJ29" s="3157"/>
      <c r="AK29" s="932"/>
      <c r="AL29" s="932"/>
      <c r="AM29" s="932"/>
      <c r="AN29" s="928"/>
      <c r="AO29" s="942">
        <f>IF($B49="yes",6,0)</f>
        <v>0</v>
      </c>
    </row>
    <row r="30" spans="1:42" s="929" customFormat="1" ht="12.75" customHeight="1">
      <c r="A30" s="932"/>
      <c r="B30" s="932"/>
      <c r="C30" s="932"/>
      <c r="E30" s="3158"/>
      <c r="F30" s="3159"/>
      <c r="G30" s="3159"/>
      <c r="H30" s="3159"/>
      <c r="I30" s="3159"/>
      <c r="J30" s="3159"/>
      <c r="K30" s="3159"/>
      <c r="L30" s="3159"/>
      <c r="M30" s="3159"/>
      <c r="N30" s="3159"/>
      <c r="O30" s="3159"/>
      <c r="P30" s="3159"/>
      <c r="Q30" s="3159"/>
      <c r="R30" s="3159"/>
      <c r="S30" s="3159"/>
      <c r="T30" s="3159"/>
      <c r="U30" s="3159"/>
      <c r="V30" s="3159"/>
      <c r="W30" s="3159"/>
      <c r="X30" s="3159"/>
      <c r="Y30" s="3159"/>
      <c r="Z30" s="3159"/>
      <c r="AA30" s="3159"/>
      <c r="AB30" s="3159"/>
      <c r="AC30" s="3159"/>
      <c r="AD30" s="3159"/>
      <c r="AE30" s="3159"/>
      <c r="AF30" s="3159"/>
      <c r="AG30" s="3159"/>
      <c r="AH30" s="3159"/>
      <c r="AI30" s="3159"/>
      <c r="AJ30" s="3160"/>
      <c r="AK30" s="932"/>
      <c r="AL30" s="932"/>
      <c r="AM30" s="932"/>
      <c r="AN30" s="928"/>
      <c r="AO30" s="929">
        <f>IF(SUM(AO23:AO29)&gt;6,6,(SUM(AO23:AO29)))</f>
        <v>0</v>
      </c>
      <c r="AP30" s="929" t="s">
        <v>1565</v>
      </c>
    </row>
    <row r="31" spans="1:42" s="929" customFormat="1" ht="12.75" customHeight="1">
      <c r="A31" s="932"/>
      <c r="B31" s="932"/>
      <c r="C31" s="932"/>
      <c r="E31" s="3225"/>
      <c r="F31" s="3226"/>
      <c r="G31" s="3226"/>
      <c r="H31" s="3226"/>
      <c r="I31" s="3226"/>
      <c r="J31" s="3226"/>
      <c r="K31" s="3226"/>
      <c r="L31" s="3226"/>
      <c r="M31" s="3226"/>
      <c r="N31" s="3226"/>
      <c r="O31" s="3226"/>
      <c r="P31" s="3226"/>
      <c r="Q31" s="3226"/>
      <c r="R31" s="3226"/>
      <c r="S31" s="3226"/>
      <c r="T31" s="3226"/>
      <c r="U31" s="3226"/>
      <c r="V31" s="3226"/>
      <c r="W31" s="3226"/>
      <c r="X31" s="3226"/>
      <c r="Y31" s="3226"/>
      <c r="Z31" s="3226"/>
      <c r="AA31" s="3226"/>
      <c r="AB31" s="3226"/>
      <c r="AC31" s="3226"/>
      <c r="AD31" s="3226"/>
      <c r="AE31" s="3226"/>
      <c r="AF31" s="3226"/>
      <c r="AG31" s="3226"/>
      <c r="AH31" s="3226"/>
      <c r="AI31" s="3226"/>
      <c r="AJ31" s="3227"/>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1571</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249" t="s">
        <v>2397</v>
      </c>
      <c r="C34" s="3249"/>
      <c r="D34" s="3249"/>
      <c r="E34" s="3249"/>
      <c r="F34" s="3249"/>
      <c r="G34" s="3249"/>
      <c r="H34" s="3249"/>
      <c r="I34" s="3249"/>
      <c r="J34" s="3249"/>
      <c r="K34" s="3249"/>
      <c r="L34" s="3249"/>
      <c r="M34" s="3249"/>
      <c r="N34" s="3249"/>
      <c r="O34" s="3249"/>
      <c r="P34" s="3249"/>
      <c r="Q34" s="3249"/>
      <c r="R34" s="3249"/>
      <c r="S34" s="3249"/>
      <c r="T34" s="3249"/>
      <c r="U34" s="3249"/>
      <c r="V34" s="3249"/>
      <c r="W34" s="3249"/>
      <c r="X34" s="3249"/>
      <c r="Y34" s="3249"/>
      <c r="Z34" s="3249"/>
      <c r="AA34" s="3249"/>
      <c r="AB34" s="3249"/>
      <c r="AC34" s="3249"/>
      <c r="AD34" s="3249"/>
      <c r="AE34" s="3249"/>
      <c r="AF34" s="3249"/>
      <c r="AG34" s="3249"/>
      <c r="AH34" s="3249"/>
      <c r="AI34" s="3249"/>
      <c r="AJ34" s="3249"/>
      <c r="AK34" s="3249"/>
      <c r="AL34" s="932"/>
      <c r="AM34" s="932"/>
      <c r="AN34" s="928"/>
    </row>
    <row r="35" spans="1:41" s="929" customFormat="1" ht="12.75" customHeight="1">
      <c r="A35" s="932"/>
      <c r="B35" s="3249"/>
      <c r="C35" s="3249"/>
      <c r="D35" s="3249"/>
      <c r="E35" s="3249"/>
      <c r="F35" s="3249"/>
      <c r="G35" s="3249"/>
      <c r="H35" s="3249"/>
      <c r="I35" s="3249"/>
      <c r="J35" s="3249"/>
      <c r="K35" s="3249"/>
      <c r="L35" s="3249"/>
      <c r="M35" s="3249"/>
      <c r="N35" s="3249"/>
      <c r="O35" s="3249"/>
      <c r="P35" s="3249"/>
      <c r="Q35" s="3249"/>
      <c r="R35" s="3249"/>
      <c r="S35" s="3249"/>
      <c r="T35" s="3249"/>
      <c r="U35" s="3249"/>
      <c r="V35" s="3249"/>
      <c r="W35" s="3249"/>
      <c r="X35" s="3249"/>
      <c r="Y35" s="3249"/>
      <c r="Z35" s="3249"/>
      <c r="AA35" s="3249"/>
      <c r="AB35" s="3249"/>
      <c r="AC35" s="3249"/>
      <c r="AD35" s="3249"/>
      <c r="AE35" s="3249"/>
      <c r="AF35" s="3249"/>
      <c r="AG35" s="3249"/>
      <c r="AH35" s="3249"/>
      <c r="AI35" s="3249"/>
      <c r="AJ35" s="3249"/>
      <c r="AK35" s="3249"/>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24" t="s">
        <v>625</v>
      </c>
      <c r="C37" s="3224"/>
      <c r="D37" s="939"/>
      <c r="E37" s="947" t="s">
        <v>1572</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24" t="s">
        <v>625</v>
      </c>
      <c r="C39" s="3224"/>
      <c r="D39" s="939"/>
      <c r="E39" s="949" t="s">
        <v>1573</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24" t="s">
        <v>625</v>
      </c>
      <c r="C41" s="3224"/>
      <c r="D41" s="939"/>
      <c r="E41" s="950" t="s">
        <v>1574</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24" t="s">
        <v>625</v>
      </c>
      <c r="C43" s="3224"/>
      <c r="D43" s="939"/>
      <c r="E43" s="950" t="s">
        <v>1575</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24" t="s">
        <v>625</v>
      </c>
      <c r="C45" s="3224"/>
      <c r="D45" s="939"/>
      <c r="E45" s="950" t="s">
        <v>1576</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24" t="s">
        <v>625</v>
      </c>
      <c r="C47" s="3224"/>
      <c r="D47" s="939"/>
      <c r="E47" s="952" t="s">
        <v>1577</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24" t="s">
        <v>625</v>
      </c>
      <c r="C49" s="3224"/>
      <c r="D49" s="939"/>
      <c r="E49" s="952" t="s">
        <v>1578</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1579</v>
      </c>
      <c r="AK51" s="3199">
        <f>AO32</f>
        <v>0</v>
      </c>
      <c r="AL51" s="3200"/>
      <c r="AM51" s="3201"/>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1580</v>
      </c>
      <c r="B54" s="931" t="s">
        <v>1581</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15" t="s">
        <v>1582</v>
      </c>
      <c r="AF54" s="3215"/>
      <c r="AG54" s="3215"/>
      <c r="AH54" s="3215"/>
      <c r="AI54" s="3215"/>
      <c r="AJ54" s="3215"/>
      <c r="AK54" s="3215"/>
      <c r="AL54" s="932"/>
      <c r="AM54" s="932"/>
      <c r="AN54" s="928"/>
    </row>
    <row r="55" spans="1:50" s="929" customFormat="1" ht="12.75" customHeight="1">
      <c r="A55" s="930"/>
      <c r="B55" s="931" t="s">
        <v>2224</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24" t="s">
        <v>625</v>
      </c>
      <c r="C57" s="3224"/>
      <c r="D57" s="939" t="s">
        <v>1583</v>
      </c>
      <c r="E57" s="3243" t="s">
        <v>2236</v>
      </c>
      <c r="F57" s="3244"/>
      <c r="G57" s="3244"/>
      <c r="H57" s="3244"/>
      <c r="I57" s="3244"/>
      <c r="J57" s="3244"/>
      <c r="K57" s="3244"/>
      <c r="L57" s="3244"/>
      <c r="M57" s="3244"/>
      <c r="N57" s="3244"/>
      <c r="O57" s="3244"/>
      <c r="P57" s="3244"/>
      <c r="Q57" s="3244"/>
      <c r="R57" s="3244"/>
      <c r="S57" s="3244"/>
      <c r="T57" s="3244"/>
      <c r="U57" s="3244"/>
      <c r="V57" s="3244"/>
      <c r="W57" s="3244"/>
      <c r="X57" s="3244"/>
      <c r="Y57" s="3244"/>
      <c r="Z57" s="3244"/>
      <c r="AA57" s="3244"/>
      <c r="AB57" s="3244"/>
      <c r="AC57" s="3244"/>
      <c r="AD57" s="3244"/>
      <c r="AE57" s="3244"/>
      <c r="AF57" s="3244"/>
      <c r="AG57" s="3244"/>
      <c r="AH57" s="3244"/>
      <c r="AI57" s="3244"/>
      <c r="AJ57" s="3245"/>
      <c r="AK57" s="935"/>
      <c r="AL57" s="932"/>
      <c r="AM57" s="932"/>
      <c r="AN57" s="928"/>
      <c r="AO57" s="942">
        <f>IF($B57="yes",10,0)</f>
        <v>0</v>
      </c>
    </row>
    <row r="58" spans="1:50" s="929" customFormat="1" ht="12.75" customHeight="1">
      <c r="A58" s="930"/>
      <c r="B58" s="932"/>
      <c r="C58" s="932"/>
      <c r="D58" s="943"/>
      <c r="E58" s="3246"/>
      <c r="F58" s="3247"/>
      <c r="G58" s="3247"/>
      <c r="H58" s="3247"/>
      <c r="I58" s="3247"/>
      <c r="J58" s="3247"/>
      <c r="K58" s="3247"/>
      <c r="L58" s="3247"/>
      <c r="M58" s="3247"/>
      <c r="N58" s="3247"/>
      <c r="O58" s="3247"/>
      <c r="P58" s="3247"/>
      <c r="Q58" s="3247"/>
      <c r="R58" s="3247"/>
      <c r="S58" s="3247"/>
      <c r="T58" s="3247"/>
      <c r="U58" s="3247"/>
      <c r="V58" s="3247"/>
      <c r="W58" s="3247"/>
      <c r="X58" s="3247"/>
      <c r="Y58" s="3247"/>
      <c r="Z58" s="3247"/>
      <c r="AA58" s="3247"/>
      <c r="AB58" s="3247"/>
      <c r="AC58" s="3247"/>
      <c r="AD58" s="3247"/>
      <c r="AE58" s="3247"/>
      <c r="AF58" s="3247"/>
      <c r="AG58" s="3247"/>
      <c r="AH58" s="3247"/>
      <c r="AI58" s="3247"/>
      <c r="AJ58" s="3248"/>
      <c r="AK58" s="935"/>
      <c r="AL58" s="932"/>
      <c r="AM58" s="932"/>
      <c r="AN58" s="928"/>
      <c r="AO58" s="942">
        <f>IF($B62="yes",10,0)</f>
        <v>10</v>
      </c>
    </row>
    <row r="59" spans="1:50" s="929" customFormat="1" ht="12.75" customHeight="1">
      <c r="A59" s="930"/>
      <c r="B59" s="932"/>
      <c r="C59" s="932"/>
      <c r="D59" s="943"/>
      <c r="E59" s="3246"/>
      <c r="F59" s="3247"/>
      <c r="G59" s="3247"/>
      <c r="H59" s="3247"/>
      <c r="I59" s="3247"/>
      <c r="J59" s="3247"/>
      <c r="K59" s="3247"/>
      <c r="L59" s="3247"/>
      <c r="M59" s="3247"/>
      <c r="N59" s="3247"/>
      <c r="O59" s="3247"/>
      <c r="P59" s="3247"/>
      <c r="Q59" s="3247"/>
      <c r="R59" s="3247"/>
      <c r="S59" s="3247"/>
      <c r="T59" s="3247"/>
      <c r="U59" s="3247"/>
      <c r="V59" s="3247"/>
      <c r="W59" s="3247"/>
      <c r="X59" s="3247"/>
      <c r="Y59" s="3247"/>
      <c r="Z59" s="3247"/>
      <c r="AA59" s="3247"/>
      <c r="AB59" s="3247"/>
      <c r="AC59" s="3247"/>
      <c r="AD59" s="3247"/>
      <c r="AE59" s="3247"/>
      <c r="AF59" s="3247"/>
      <c r="AG59" s="3247"/>
      <c r="AH59" s="3247"/>
      <c r="AI59" s="3247"/>
      <c r="AJ59" s="3248"/>
      <c r="AK59" s="935"/>
      <c r="AL59" s="932"/>
      <c r="AM59" s="932"/>
      <c r="AN59" s="928"/>
      <c r="AO59" s="942">
        <f>IF($B69="yes",10,0)</f>
        <v>0</v>
      </c>
    </row>
    <row r="60" spans="1:50" s="929" customFormat="1" ht="12.75" customHeight="1">
      <c r="A60" s="930"/>
      <c r="B60" s="932"/>
      <c r="C60" s="932"/>
      <c r="D60" s="943"/>
      <c r="E60" s="3259"/>
      <c r="F60" s="3260"/>
      <c r="G60" s="3260"/>
      <c r="H60" s="3260"/>
      <c r="I60" s="3260"/>
      <c r="J60" s="3260"/>
      <c r="K60" s="3260"/>
      <c r="L60" s="3260"/>
      <c r="M60" s="3260"/>
      <c r="N60" s="3260"/>
      <c r="O60" s="3260"/>
      <c r="P60" s="3260"/>
      <c r="Q60" s="3260"/>
      <c r="R60" s="3260"/>
      <c r="S60" s="3260"/>
      <c r="T60" s="3260"/>
      <c r="U60" s="3260"/>
      <c r="V60" s="3260"/>
      <c r="W60" s="3260"/>
      <c r="X60" s="3260"/>
      <c r="Y60" s="3260"/>
      <c r="Z60" s="3260"/>
      <c r="AA60" s="3260"/>
      <c r="AB60" s="3260"/>
      <c r="AC60" s="3260"/>
      <c r="AD60" s="3260"/>
      <c r="AE60" s="3260"/>
      <c r="AF60" s="3260"/>
      <c r="AG60" s="3260"/>
      <c r="AH60" s="3260"/>
      <c r="AI60" s="3260"/>
      <c r="AJ60" s="3261"/>
      <c r="AK60" s="935"/>
      <c r="AL60" s="932"/>
      <c r="AM60" s="932"/>
      <c r="AN60" s="928"/>
      <c r="AO60" s="929">
        <f>IF(SUM(AO57:AO59)&gt;10,10,(SUM(AO57:AO59)))</f>
        <v>10</v>
      </c>
      <c r="AP60" s="967" t="s">
        <v>1584</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24" t="s">
        <v>577</v>
      </c>
      <c r="C62" s="3224"/>
      <c r="D62" s="939" t="s">
        <v>1585</v>
      </c>
      <c r="E62" s="1688" t="s">
        <v>2220</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228" t="s">
        <v>577</v>
      </c>
      <c r="F63" s="3224"/>
      <c r="G63" s="968"/>
      <c r="H63" s="1687" t="s">
        <v>1586</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222" t="s">
        <v>625</v>
      </c>
      <c r="F64" s="3223"/>
      <c r="G64" s="968"/>
      <c r="H64" s="1687" t="s">
        <v>1587</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222" t="s">
        <v>625</v>
      </c>
      <c r="F65" s="3223"/>
      <c r="G65" s="968"/>
      <c r="H65" s="1687" t="s">
        <v>2235</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228" t="s">
        <v>577</v>
      </c>
      <c r="F67" s="3224"/>
      <c r="G67" s="1590"/>
      <c r="H67" s="1696" t="s">
        <v>2234</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24" t="s">
        <v>625</v>
      </c>
      <c r="C69" s="3224"/>
      <c r="D69" s="939" t="s">
        <v>1588</v>
      </c>
      <c r="E69" s="3155" t="s">
        <v>2237</v>
      </c>
      <c r="F69" s="3156"/>
      <c r="G69" s="3156"/>
      <c r="H69" s="3156"/>
      <c r="I69" s="3156"/>
      <c r="J69" s="3156"/>
      <c r="K69" s="3156"/>
      <c r="L69" s="3156"/>
      <c r="M69" s="3156"/>
      <c r="N69" s="3156"/>
      <c r="O69" s="3156"/>
      <c r="P69" s="3156"/>
      <c r="Q69" s="3156"/>
      <c r="R69" s="3156"/>
      <c r="S69" s="3156"/>
      <c r="T69" s="3156"/>
      <c r="U69" s="3156"/>
      <c r="V69" s="3156"/>
      <c r="W69" s="3156"/>
      <c r="X69" s="3156"/>
      <c r="Y69" s="3156"/>
      <c r="Z69" s="3156"/>
      <c r="AA69" s="3156"/>
      <c r="AB69" s="3156"/>
      <c r="AC69" s="3156"/>
      <c r="AD69" s="3156"/>
      <c r="AE69" s="3156"/>
      <c r="AF69" s="3156"/>
      <c r="AG69" s="3156"/>
      <c r="AH69" s="3156"/>
      <c r="AI69" s="3156"/>
      <c r="AJ69" s="3157"/>
      <c r="AK69" s="935"/>
      <c r="AL69" s="932"/>
      <c r="AM69" s="932"/>
      <c r="AN69" s="928"/>
    </row>
    <row r="70" spans="1:40" s="929" customFormat="1" ht="12.75" customHeight="1">
      <c r="A70" s="930"/>
      <c r="B70" s="932"/>
      <c r="C70" s="932"/>
      <c r="D70" s="942"/>
      <c r="E70" s="3225"/>
      <c r="F70" s="3226"/>
      <c r="G70" s="3226"/>
      <c r="H70" s="3226"/>
      <c r="I70" s="3226"/>
      <c r="J70" s="3226"/>
      <c r="K70" s="3226"/>
      <c r="L70" s="3226"/>
      <c r="M70" s="3226"/>
      <c r="N70" s="3226"/>
      <c r="O70" s="3226"/>
      <c r="P70" s="3226"/>
      <c r="Q70" s="3226"/>
      <c r="R70" s="3226"/>
      <c r="S70" s="3226"/>
      <c r="T70" s="3226"/>
      <c r="U70" s="3226"/>
      <c r="V70" s="3226"/>
      <c r="W70" s="3226"/>
      <c r="X70" s="3226"/>
      <c r="Y70" s="3226"/>
      <c r="Z70" s="3226"/>
      <c r="AA70" s="3226"/>
      <c r="AB70" s="3226"/>
      <c r="AC70" s="3226"/>
      <c r="AD70" s="3226"/>
      <c r="AE70" s="3226"/>
      <c r="AF70" s="3226"/>
      <c r="AG70" s="3226"/>
      <c r="AH70" s="3226"/>
      <c r="AI70" s="3226"/>
      <c r="AJ70" s="3227"/>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1589</v>
      </c>
      <c r="AK72" s="3199">
        <f>IF(AK51&gt;0,0,AO60)</f>
        <v>10</v>
      </c>
      <c r="AL72" s="3200"/>
      <c r="AM72" s="3201"/>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1590</v>
      </c>
      <c r="B75" s="931" t="s">
        <v>1591</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15" t="s">
        <v>1561</v>
      </c>
      <c r="AF75" s="3215"/>
      <c r="AG75" s="3215"/>
      <c r="AH75" s="3215"/>
      <c r="AI75" s="3215"/>
      <c r="AJ75" s="3215"/>
      <c r="AK75" s="3215"/>
      <c r="AL75" s="932"/>
      <c r="AM75" s="932"/>
      <c r="AN75" s="928"/>
    </row>
    <row r="76" spans="1:40" s="929" customFormat="1" ht="12.75" customHeight="1">
      <c r="A76" s="930"/>
      <c r="B76" s="931" t="s">
        <v>1592</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24" t="s">
        <v>625</v>
      </c>
      <c r="C78" s="3224"/>
      <c r="D78" s="939" t="s">
        <v>1583</v>
      </c>
      <c r="E78" s="3231" t="s">
        <v>1593</v>
      </c>
      <c r="F78" s="3232"/>
      <c r="G78" s="3232"/>
      <c r="H78" s="3232"/>
      <c r="I78" s="3232"/>
      <c r="J78" s="3232"/>
      <c r="K78" s="3232"/>
      <c r="L78" s="3232"/>
      <c r="M78" s="3232"/>
      <c r="N78" s="3232"/>
      <c r="O78" s="3232"/>
      <c r="P78" s="3232"/>
      <c r="Q78" s="3232"/>
      <c r="R78" s="3232"/>
      <c r="S78" s="3232"/>
      <c r="T78" s="3232"/>
      <c r="U78" s="3232"/>
      <c r="V78" s="3232"/>
      <c r="W78" s="3232"/>
      <c r="X78" s="3232"/>
      <c r="Y78" s="3232"/>
      <c r="Z78" s="3232"/>
      <c r="AA78" s="3232"/>
      <c r="AB78" s="3232"/>
      <c r="AC78" s="3232"/>
      <c r="AD78" s="3232"/>
      <c r="AE78" s="3232"/>
      <c r="AF78" s="3232"/>
      <c r="AG78" s="3232"/>
      <c r="AH78" s="3232"/>
      <c r="AI78" s="3232"/>
      <c r="AJ78" s="3233"/>
      <c r="AK78" s="935"/>
      <c r="AL78" s="932"/>
      <c r="AM78" s="932"/>
      <c r="AN78" s="928"/>
    </row>
    <row r="79" spans="1:40" s="929" customFormat="1" ht="12.75" customHeight="1">
      <c r="A79" s="930"/>
      <c r="B79" s="931"/>
      <c r="C79" s="931"/>
      <c r="D79" s="931"/>
      <c r="E79" s="3234"/>
      <c r="F79" s="3235"/>
      <c r="G79" s="3235"/>
      <c r="H79" s="3235"/>
      <c r="I79" s="3235"/>
      <c r="J79" s="3235"/>
      <c r="K79" s="3235"/>
      <c r="L79" s="3235"/>
      <c r="M79" s="3235"/>
      <c r="N79" s="3235"/>
      <c r="O79" s="3235"/>
      <c r="P79" s="3235"/>
      <c r="Q79" s="3235"/>
      <c r="R79" s="3235"/>
      <c r="S79" s="3235"/>
      <c r="T79" s="3235"/>
      <c r="U79" s="3235"/>
      <c r="V79" s="3235"/>
      <c r="W79" s="3235"/>
      <c r="X79" s="3235"/>
      <c r="Y79" s="3235"/>
      <c r="Z79" s="3235"/>
      <c r="AA79" s="3235"/>
      <c r="AB79" s="3235"/>
      <c r="AC79" s="3235"/>
      <c r="AD79" s="3235"/>
      <c r="AE79" s="3235"/>
      <c r="AF79" s="3235"/>
      <c r="AG79" s="3235"/>
      <c r="AH79" s="3235"/>
      <c r="AI79" s="3235"/>
      <c r="AJ79" s="3236"/>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13">
        <f>Application!AH753</f>
        <v>0.47968749999999993</v>
      </c>
      <c r="F81" s="3214"/>
      <c r="G81" s="3214"/>
      <c r="H81" s="3214"/>
      <c r="I81" s="970"/>
      <c r="J81" s="973" t="s">
        <v>1594</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237">
        <f>0.6-ROUNDUP(E81,2)</f>
        <v>0.12</v>
      </c>
      <c r="F82" s="3238"/>
      <c r="G82" s="3238"/>
      <c r="H82" s="3238"/>
      <c r="I82" s="970"/>
      <c r="J82" s="973" t="s">
        <v>1595</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229">
        <f>IF(E82*200&gt;20,20,E82*200)</f>
        <v>20</v>
      </c>
      <c r="F83" s="3230"/>
      <c r="G83" s="3230"/>
      <c r="H83" s="3230"/>
      <c r="I83" s="970"/>
      <c r="J83" s="973" t="s">
        <v>1596</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0</v>
      </c>
      <c r="AQ83" s="929" t="s">
        <v>1565</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24" t="s">
        <v>577</v>
      </c>
      <c r="C86" s="3224"/>
      <c r="D86" s="939" t="s">
        <v>1585</v>
      </c>
      <c r="E86" s="3231" t="s">
        <v>2221</v>
      </c>
      <c r="F86" s="3232"/>
      <c r="G86" s="3232"/>
      <c r="H86" s="3232"/>
      <c r="I86" s="3232"/>
      <c r="J86" s="3232"/>
      <c r="K86" s="3232"/>
      <c r="L86" s="3232"/>
      <c r="M86" s="3232"/>
      <c r="N86" s="3232"/>
      <c r="O86" s="3232"/>
      <c r="P86" s="3232"/>
      <c r="Q86" s="3232"/>
      <c r="R86" s="3232"/>
      <c r="S86" s="3232"/>
      <c r="T86" s="3232"/>
      <c r="U86" s="3232"/>
      <c r="V86" s="3232"/>
      <c r="W86" s="3232"/>
      <c r="X86" s="3232"/>
      <c r="Y86" s="3232"/>
      <c r="Z86" s="3232"/>
      <c r="AA86" s="3232"/>
      <c r="AB86" s="3232"/>
      <c r="AC86" s="3232"/>
      <c r="AD86" s="3232"/>
      <c r="AE86" s="3232"/>
      <c r="AF86" s="3232"/>
      <c r="AG86" s="3232"/>
      <c r="AH86" s="3232"/>
      <c r="AI86" s="3232"/>
      <c r="AJ86" s="3233"/>
      <c r="AK86" s="935"/>
      <c r="AL86" s="932"/>
      <c r="AM86" s="932"/>
      <c r="AN86" s="928"/>
    </row>
    <row r="87" spans="1:47" s="929" customFormat="1" ht="12.75" customHeight="1">
      <c r="A87" s="930"/>
      <c r="B87" s="931"/>
      <c r="C87" s="931"/>
      <c r="D87" s="931"/>
      <c r="E87" s="3234"/>
      <c r="F87" s="3235"/>
      <c r="G87" s="3235"/>
      <c r="H87" s="3235"/>
      <c r="I87" s="3235"/>
      <c r="J87" s="3235"/>
      <c r="K87" s="3235"/>
      <c r="L87" s="3235"/>
      <c r="M87" s="3235"/>
      <c r="N87" s="3235"/>
      <c r="O87" s="3235"/>
      <c r="P87" s="3235"/>
      <c r="Q87" s="3235"/>
      <c r="R87" s="3235"/>
      <c r="S87" s="3235"/>
      <c r="T87" s="3235"/>
      <c r="U87" s="3235"/>
      <c r="V87" s="3235"/>
      <c r="W87" s="3235"/>
      <c r="X87" s="3235"/>
      <c r="Y87" s="3235"/>
      <c r="Z87" s="3235"/>
      <c r="AA87" s="3235"/>
      <c r="AB87" s="3235"/>
      <c r="AC87" s="3235"/>
      <c r="AD87" s="3235"/>
      <c r="AE87" s="3235"/>
      <c r="AF87" s="3235"/>
      <c r="AG87" s="3235"/>
      <c r="AH87" s="3235"/>
      <c r="AI87" s="3235"/>
      <c r="AJ87" s="3236"/>
      <c r="AK87" s="935"/>
      <c r="AL87" s="932"/>
      <c r="AM87" s="932"/>
      <c r="AN87" s="928"/>
    </row>
    <row r="88" spans="1:47" s="929" customFormat="1" ht="12.75" customHeight="1">
      <c r="A88" s="930"/>
      <c r="B88" s="931"/>
      <c r="C88" s="931"/>
      <c r="D88" s="931"/>
      <c r="E88" s="3234"/>
      <c r="F88" s="3235"/>
      <c r="G88" s="3235"/>
      <c r="H88" s="3235"/>
      <c r="I88" s="3235"/>
      <c r="J88" s="3235"/>
      <c r="K88" s="3235"/>
      <c r="L88" s="3235"/>
      <c r="M88" s="3235"/>
      <c r="N88" s="3235"/>
      <c r="O88" s="3235"/>
      <c r="P88" s="3235"/>
      <c r="Q88" s="3235"/>
      <c r="R88" s="3235"/>
      <c r="S88" s="3235"/>
      <c r="T88" s="3235"/>
      <c r="U88" s="3235"/>
      <c r="V88" s="3235"/>
      <c r="W88" s="3235"/>
      <c r="X88" s="3235"/>
      <c r="Y88" s="3235"/>
      <c r="Z88" s="3235"/>
      <c r="AA88" s="3235"/>
      <c r="AB88" s="3235"/>
      <c r="AC88" s="3235"/>
      <c r="AD88" s="3235"/>
      <c r="AE88" s="3235"/>
      <c r="AF88" s="3235"/>
      <c r="AG88" s="3235"/>
      <c r="AH88" s="3235"/>
      <c r="AI88" s="3235"/>
      <c r="AJ88" s="3236"/>
      <c r="AK88" s="935"/>
      <c r="AL88" s="932"/>
      <c r="AM88" s="932"/>
      <c r="AN88" s="928"/>
    </row>
    <row r="89" spans="1:47" s="929" customFormat="1" ht="12.75" customHeight="1">
      <c r="A89" s="930"/>
      <c r="B89" s="931"/>
      <c r="C89" s="931"/>
      <c r="D89" s="931"/>
      <c r="E89" s="3234"/>
      <c r="F89" s="3235"/>
      <c r="G89" s="3235"/>
      <c r="H89" s="3235"/>
      <c r="I89" s="3235"/>
      <c r="J89" s="3235"/>
      <c r="K89" s="3235"/>
      <c r="L89" s="3235"/>
      <c r="M89" s="3235"/>
      <c r="N89" s="3235"/>
      <c r="O89" s="3235"/>
      <c r="P89" s="3235"/>
      <c r="Q89" s="3235"/>
      <c r="R89" s="3235"/>
      <c r="S89" s="3235"/>
      <c r="T89" s="3235"/>
      <c r="U89" s="3235"/>
      <c r="V89" s="3235"/>
      <c r="W89" s="3235"/>
      <c r="X89" s="3235"/>
      <c r="Y89" s="3235"/>
      <c r="Z89" s="3235"/>
      <c r="AA89" s="3235"/>
      <c r="AB89" s="3235"/>
      <c r="AC89" s="3235"/>
      <c r="AD89" s="3235"/>
      <c r="AE89" s="3235"/>
      <c r="AF89" s="3235"/>
      <c r="AG89" s="3235"/>
      <c r="AH89" s="3235"/>
      <c r="AI89" s="3235"/>
      <c r="AJ89" s="3236"/>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13">
        <f>Application!AH753</f>
        <v>0.47968749999999993</v>
      </c>
      <c r="F91" s="3214"/>
      <c r="G91" s="3214"/>
      <c r="H91" s="3214"/>
      <c r="I91" s="970"/>
      <c r="J91" s="1479" t="s">
        <v>1594</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13">
        <f ca="1">SUMIF(Application!AH728:AL752,0.2,Application!G728:J752)/Application!G753+SUMIF(Application!AH728:AL752,0.25,Application!G728:J752)/Application!G753+SUMIF(Application!AH728:AL752,0.3,Application!G728:J752)/Application!G753</f>
        <v>0.203125</v>
      </c>
      <c r="F92" s="3214"/>
      <c r="G92" s="3214"/>
      <c r="H92" s="3214"/>
      <c r="I92" s="970"/>
      <c r="J92" s="973" t="s">
        <v>1597</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213">
        <f ca="1">SUMIF(Application!AH728:AL752,0.35,Application!G728:J752)/Application!G753+SUMIF(Application!AH728:AL752,0.4,Application!G728:J752)/Application!G753+SUMIF(Application!AH728:AL752,0.45,Application!G728:J752)/Application!G753+SUMIF(Application!AH728:AL752,0.5,Application!G728:J752)/Application!G753</f>
        <v>0.59375</v>
      </c>
      <c r="F93" s="3214"/>
      <c r="G93" s="3214"/>
      <c r="H93" s="3214"/>
      <c r="I93" s="970"/>
      <c r="J93" s="973" t="s">
        <v>1598</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216">
        <f ca="1">IF(AND(E91&lt;=0.6,E92&gt;=0.1,OR(E93&gt;=0.1,E92=1)),20,0)</f>
        <v>20</v>
      </c>
      <c r="F94" s="3217"/>
      <c r="G94" s="3217"/>
      <c r="H94" s="3217"/>
      <c r="I94" s="945"/>
      <c r="J94" s="980" t="s">
        <v>1596</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 ca="1">IF(B86="yes",E94,0)</f>
        <v>20</v>
      </c>
      <c r="AQ94" s="929" t="s">
        <v>1565</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1599</v>
      </c>
      <c r="AK97" s="3199">
        <f ca="1">MAX(AP83,AP94)</f>
        <v>20</v>
      </c>
      <c r="AL97" s="3200"/>
      <c r="AM97" s="3201"/>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1600</v>
      </c>
      <c r="B100" s="931" t="s">
        <v>1601</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15" t="s">
        <v>1582</v>
      </c>
      <c r="AF100" s="3215"/>
      <c r="AG100" s="3215"/>
      <c r="AH100" s="3215"/>
      <c r="AI100" s="3215"/>
      <c r="AJ100" s="3215"/>
      <c r="AK100" s="3215"/>
      <c r="AL100" s="932"/>
      <c r="AM100" s="932"/>
      <c r="AN100" s="928"/>
      <c r="AO100" s="929" t="str">
        <f>Application!B728</f>
        <v>1 Bedroom</v>
      </c>
      <c r="AQ100" s="929">
        <f>Application!O728</f>
        <v>364</v>
      </c>
    </row>
    <row r="101" spans="1:49" s="929" customFormat="1" ht="12.75" customHeight="1">
      <c r="A101" s="932"/>
      <c r="B101" s="931" t="s">
        <v>1592</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2 Bedrooms</v>
      </c>
      <c r="AQ101" s="929">
        <f>Application!O729</f>
        <v>435</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3 Bedrooms</v>
      </c>
      <c r="AQ102" s="929">
        <f>Application!O730</f>
        <v>500</v>
      </c>
    </row>
    <row r="103" spans="1:49" s="929" customFormat="1" ht="12.75" customHeight="1">
      <c r="A103" s="932"/>
      <c r="B103" s="3224" t="s">
        <v>577</v>
      </c>
      <c r="C103" s="3224"/>
      <c r="D103" s="939" t="s">
        <v>1583</v>
      </c>
      <c r="E103" s="3231" t="s">
        <v>2383</v>
      </c>
      <c r="F103" s="3232"/>
      <c r="G103" s="3232"/>
      <c r="H103" s="3232"/>
      <c r="I103" s="3232"/>
      <c r="J103" s="3232"/>
      <c r="K103" s="3232"/>
      <c r="L103" s="3232"/>
      <c r="M103" s="3232"/>
      <c r="N103" s="3232"/>
      <c r="O103" s="3232"/>
      <c r="P103" s="3232"/>
      <c r="Q103" s="3232"/>
      <c r="R103" s="3232"/>
      <c r="S103" s="3232"/>
      <c r="T103" s="3232"/>
      <c r="U103" s="3232"/>
      <c r="V103" s="3232"/>
      <c r="W103" s="3232"/>
      <c r="X103" s="3232"/>
      <c r="Y103" s="3232"/>
      <c r="Z103" s="3232"/>
      <c r="AA103" s="3232"/>
      <c r="AB103" s="3232"/>
      <c r="AC103" s="3232"/>
      <c r="AD103" s="3232"/>
      <c r="AE103" s="3232"/>
      <c r="AF103" s="3232"/>
      <c r="AG103" s="3232"/>
      <c r="AH103" s="3232"/>
      <c r="AI103" s="3232"/>
      <c r="AJ103" s="3233"/>
      <c r="AK103" s="932"/>
      <c r="AL103" s="932"/>
      <c r="AM103" s="932"/>
      <c r="AN103" s="928"/>
      <c r="AO103" s="929" t="str">
        <f>Application!B731</f>
        <v>1 Bedroom</v>
      </c>
      <c r="AQ103" s="929">
        <f>Application!O731</f>
        <v>660</v>
      </c>
      <c r="AU103" s="929" t="s">
        <v>2361</v>
      </c>
      <c r="AV103" s="1764" t="s">
        <v>2362</v>
      </c>
      <c r="AW103" s="929" t="s">
        <v>2363</v>
      </c>
    </row>
    <row r="104" spans="1:49" s="929" customFormat="1" ht="12.75" customHeight="1">
      <c r="A104" s="932"/>
      <c r="B104" s="931"/>
      <c r="C104" s="931"/>
      <c r="D104" s="931"/>
      <c r="E104" s="3234"/>
      <c r="F104" s="3235"/>
      <c r="G104" s="3235"/>
      <c r="H104" s="3235"/>
      <c r="I104" s="3235"/>
      <c r="J104" s="3235"/>
      <c r="K104" s="3235"/>
      <c r="L104" s="3235"/>
      <c r="M104" s="3235"/>
      <c r="N104" s="3235"/>
      <c r="O104" s="3235"/>
      <c r="P104" s="3235"/>
      <c r="Q104" s="3235"/>
      <c r="R104" s="3235"/>
      <c r="S104" s="3235"/>
      <c r="T104" s="3235"/>
      <c r="U104" s="3235"/>
      <c r="V104" s="3235"/>
      <c r="W104" s="3235"/>
      <c r="X104" s="3235"/>
      <c r="Y104" s="3235"/>
      <c r="Z104" s="3235"/>
      <c r="AA104" s="3235"/>
      <c r="AB104" s="3235"/>
      <c r="AC104" s="3235"/>
      <c r="AD104" s="3235"/>
      <c r="AE104" s="3235"/>
      <c r="AF104" s="3235"/>
      <c r="AG104" s="3235"/>
      <c r="AH104" s="3235"/>
      <c r="AI104" s="3235"/>
      <c r="AJ104" s="3236"/>
      <c r="AK104" s="932"/>
      <c r="AL104" s="932"/>
      <c r="AM104" s="932"/>
      <c r="AN104" s="928"/>
      <c r="AO104" s="929" t="str">
        <f>Application!B732</f>
        <v>2 Bedrooms</v>
      </c>
      <c r="AQ104" s="929">
        <f>Application!O732</f>
        <v>790</v>
      </c>
      <c r="AU104" s="1767" t="str">
        <f>E112</f>
        <v>Studio/SRO</v>
      </c>
      <c r="AV104" s="929">
        <f t="array" ref="AV104">SUM(IF(Application!B728:F752="SRO/Studio",Application!G728:J752))</f>
        <v>0</v>
      </c>
      <c r="AW104" s="1802">
        <f>AV104/AV110</f>
        <v>0</v>
      </c>
    </row>
    <row r="105" spans="1:49" s="929" customFormat="1" ht="12.75" customHeight="1">
      <c r="A105" s="932"/>
      <c r="B105" s="931"/>
      <c r="C105" s="931"/>
      <c r="D105" s="931"/>
      <c r="E105" s="3234"/>
      <c r="F105" s="3235"/>
      <c r="G105" s="3235"/>
      <c r="H105" s="3235"/>
      <c r="I105" s="3235"/>
      <c r="J105" s="3235"/>
      <c r="K105" s="3235"/>
      <c r="L105" s="3235"/>
      <c r="M105" s="3235"/>
      <c r="N105" s="3235"/>
      <c r="O105" s="3235"/>
      <c r="P105" s="3235"/>
      <c r="Q105" s="3235"/>
      <c r="R105" s="3235"/>
      <c r="S105" s="3235"/>
      <c r="T105" s="3235"/>
      <c r="U105" s="3235"/>
      <c r="V105" s="3235"/>
      <c r="W105" s="3235"/>
      <c r="X105" s="3235"/>
      <c r="Y105" s="3235"/>
      <c r="Z105" s="3235"/>
      <c r="AA105" s="3235"/>
      <c r="AB105" s="3235"/>
      <c r="AC105" s="3235"/>
      <c r="AD105" s="3235"/>
      <c r="AE105" s="3235"/>
      <c r="AF105" s="3235"/>
      <c r="AG105" s="3235"/>
      <c r="AH105" s="3235"/>
      <c r="AI105" s="3235"/>
      <c r="AJ105" s="3236"/>
      <c r="AK105" s="932"/>
      <c r="AL105" s="932"/>
      <c r="AM105" s="932"/>
      <c r="AN105" s="928"/>
      <c r="AO105" s="929" t="str">
        <f>Application!B733</f>
        <v>3 Bedrooms</v>
      </c>
      <c r="AQ105" s="929">
        <f>Application!O733</f>
        <v>911</v>
      </c>
      <c r="AU105" s="1767" t="str">
        <f>J112</f>
        <v>1-bedroom</v>
      </c>
      <c r="AV105" s="929">
        <f t="array" ref="AV105">SUM(IF(Application!B728:F752="1 Bedroom",Application!G728:J752))</f>
        <v>15</v>
      </c>
      <c r="AW105" s="1802">
        <f>AV105/AV110</f>
        <v>0.234375</v>
      </c>
    </row>
    <row r="106" spans="1:49" s="929" customFormat="1" ht="12.75" customHeight="1">
      <c r="A106" s="932"/>
      <c r="B106" s="931"/>
      <c r="C106" s="931"/>
      <c r="D106" s="931"/>
      <c r="E106" s="3234"/>
      <c r="F106" s="3235"/>
      <c r="G106" s="3235"/>
      <c r="H106" s="3235"/>
      <c r="I106" s="3235"/>
      <c r="J106" s="3235"/>
      <c r="K106" s="3235"/>
      <c r="L106" s="3235"/>
      <c r="M106" s="3235"/>
      <c r="N106" s="3235"/>
      <c r="O106" s="3235"/>
      <c r="P106" s="3235"/>
      <c r="Q106" s="3235"/>
      <c r="R106" s="3235"/>
      <c r="S106" s="3235"/>
      <c r="T106" s="3235"/>
      <c r="U106" s="3235"/>
      <c r="V106" s="3235"/>
      <c r="W106" s="3235"/>
      <c r="X106" s="3235"/>
      <c r="Y106" s="3235"/>
      <c r="Z106" s="3235"/>
      <c r="AA106" s="3235"/>
      <c r="AB106" s="3235"/>
      <c r="AC106" s="3235"/>
      <c r="AD106" s="3235"/>
      <c r="AE106" s="3235"/>
      <c r="AF106" s="3235"/>
      <c r="AG106" s="3235"/>
      <c r="AH106" s="3235"/>
      <c r="AI106" s="3235"/>
      <c r="AJ106" s="3236"/>
      <c r="AK106" s="932"/>
      <c r="AL106" s="932"/>
      <c r="AM106" s="932"/>
      <c r="AN106" s="928"/>
      <c r="AO106" s="929" t="str">
        <f>Application!B734</f>
        <v>1 Bedroom</v>
      </c>
      <c r="AQ106" s="929">
        <f>Application!O734</f>
        <v>808</v>
      </c>
      <c r="AU106" s="1767" t="str">
        <f>O112</f>
        <v>2-bedroom</v>
      </c>
      <c r="AV106" s="929">
        <f t="array" ref="AV106">SUM(IF(Application!B728:F752="2 Bedrooms",Application!G728:J752))</f>
        <v>19</v>
      </c>
      <c r="AW106" s="1802">
        <f>AV106/AV110</f>
        <v>0.296875</v>
      </c>
    </row>
    <row r="107" spans="1:49" s="929" customFormat="1" ht="12.75" customHeight="1">
      <c r="A107" s="932"/>
      <c r="B107" s="931"/>
      <c r="C107" s="931"/>
      <c r="D107" s="931"/>
      <c r="E107" s="3234"/>
      <c r="F107" s="3235"/>
      <c r="G107" s="3235"/>
      <c r="H107" s="3235"/>
      <c r="I107" s="3235"/>
      <c r="J107" s="3235"/>
      <c r="K107" s="3235"/>
      <c r="L107" s="3235"/>
      <c r="M107" s="3235"/>
      <c r="N107" s="3235"/>
      <c r="O107" s="3235"/>
      <c r="P107" s="3235"/>
      <c r="Q107" s="3235"/>
      <c r="R107" s="3235"/>
      <c r="S107" s="3235"/>
      <c r="T107" s="3235"/>
      <c r="U107" s="3235"/>
      <c r="V107" s="3235"/>
      <c r="W107" s="3235"/>
      <c r="X107" s="3235"/>
      <c r="Y107" s="3235"/>
      <c r="Z107" s="3235"/>
      <c r="AA107" s="3235"/>
      <c r="AB107" s="3235"/>
      <c r="AC107" s="3235"/>
      <c r="AD107" s="3235"/>
      <c r="AE107" s="3235"/>
      <c r="AF107" s="3235"/>
      <c r="AG107" s="3235"/>
      <c r="AH107" s="3235"/>
      <c r="AI107" s="3235"/>
      <c r="AJ107" s="3236"/>
      <c r="AK107" s="932"/>
      <c r="AL107" s="932"/>
      <c r="AM107" s="932"/>
      <c r="AN107" s="928"/>
      <c r="AO107" s="929" t="str">
        <f>Application!B735</f>
        <v>2 Bedrooms</v>
      </c>
      <c r="AQ107" s="929">
        <f>Application!O735</f>
        <v>968</v>
      </c>
      <c r="AU107" s="1767" t="str">
        <f>T112</f>
        <v>3-bedroom</v>
      </c>
      <c r="AV107" s="929">
        <f t="array" ref="AV107">SUM(IF(Application!B728:F752="3 Bedrooms",Application!G728:J752))</f>
        <v>30</v>
      </c>
      <c r="AW107" s="1802">
        <f>AV107/AV110</f>
        <v>0.46875</v>
      </c>
    </row>
    <row r="108" spans="1:49" s="929" customFormat="1" ht="12.75" customHeight="1">
      <c r="A108" s="932"/>
      <c r="B108" s="931"/>
      <c r="C108" s="931"/>
      <c r="D108" s="931"/>
      <c r="E108" s="3234"/>
      <c r="F108" s="3235"/>
      <c r="G108" s="3235"/>
      <c r="H108" s="3235"/>
      <c r="I108" s="3235"/>
      <c r="J108" s="3235"/>
      <c r="K108" s="3235"/>
      <c r="L108" s="3235"/>
      <c r="M108" s="3235"/>
      <c r="N108" s="3235"/>
      <c r="O108" s="3235"/>
      <c r="P108" s="3235"/>
      <c r="Q108" s="3235"/>
      <c r="R108" s="3235"/>
      <c r="S108" s="3235"/>
      <c r="T108" s="3235"/>
      <c r="U108" s="3235"/>
      <c r="V108" s="3235"/>
      <c r="W108" s="3235"/>
      <c r="X108" s="3235"/>
      <c r="Y108" s="3235"/>
      <c r="Z108" s="3235"/>
      <c r="AA108" s="3235"/>
      <c r="AB108" s="3235"/>
      <c r="AC108" s="3235"/>
      <c r="AD108" s="3235"/>
      <c r="AE108" s="3235"/>
      <c r="AF108" s="3235"/>
      <c r="AG108" s="3235"/>
      <c r="AH108" s="3235"/>
      <c r="AI108" s="3235"/>
      <c r="AJ108" s="3236"/>
      <c r="AK108" s="932"/>
      <c r="AL108" s="932"/>
      <c r="AM108" s="932"/>
      <c r="AN108" s="928"/>
      <c r="AO108" s="929" t="str">
        <f>Application!B736</f>
        <v>3 Bedrooms</v>
      </c>
      <c r="AQ108" s="929">
        <f>Application!O736</f>
        <v>1117</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234"/>
      <c r="F109" s="3235"/>
      <c r="G109" s="3235"/>
      <c r="H109" s="3235"/>
      <c r="I109" s="3235"/>
      <c r="J109" s="3235"/>
      <c r="K109" s="3235"/>
      <c r="L109" s="3235"/>
      <c r="M109" s="3235"/>
      <c r="N109" s="3235"/>
      <c r="O109" s="3235"/>
      <c r="P109" s="3235"/>
      <c r="Q109" s="3235"/>
      <c r="R109" s="3235"/>
      <c r="S109" s="3235"/>
      <c r="T109" s="3235"/>
      <c r="U109" s="3235"/>
      <c r="V109" s="3235"/>
      <c r="W109" s="3235"/>
      <c r="X109" s="3235"/>
      <c r="Y109" s="3235"/>
      <c r="Z109" s="3235"/>
      <c r="AA109" s="3235"/>
      <c r="AB109" s="3235"/>
      <c r="AC109" s="3235"/>
      <c r="AD109" s="3235"/>
      <c r="AE109" s="3235"/>
      <c r="AF109" s="3235"/>
      <c r="AG109" s="3235"/>
      <c r="AH109" s="3235"/>
      <c r="AI109" s="3235"/>
      <c r="AJ109" s="3236"/>
      <c r="AK109" s="932"/>
      <c r="AL109" s="932"/>
      <c r="AM109" s="932"/>
      <c r="AN109" s="928"/>
      <c r="AO109" s="929" t="str">
        <f>Application!B737</f>
        <v>1 Bedroom</v>
      </c>
      <c r="AQ109" s="929">
        <f>Application!O737</f>
        <v>660</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234"/>
      <c r="F110" s="3235"/>
      <c r="G110" s="3235"/>
      <c r="H110" s="3235"/>
      <c r="I110" s="3235"/>
      <c r="J110" s="3235"/>
      <c r="K110" s="3235"/>
      <c r="L110" s="3235"/>
      <c r="M110" s="3235"/>
      <c r="N110" s="3235"/>
      <c r="O110" s="3235"/>
      <c r="P110" s="3235"/>
      <c r="Q110" s="3235"/>
      <c r="R110" s="3235"/>
      <c r="S110" s="3235"/>
      <c r="T110" s="3235"/>
      <c r="U110" s="3235"/>
      <c r="V110" s="3235"/>
      <c r="W110" s="3235"/>
      <c r="X110" s="3235"/>
      <c r="Y110" s="3235"/>
      <c r="Z110" s="3235"/>
      <c r="AA110" s="3235"/>
      <c r="AB110" s="3235"/>
      <c r="AC110" s="3235"/>
      <c r="AD110" s="3235"/>
      <c r="AE110" s="3235"/>
      <c r="AF110" s="3235"/>
      <c r="AG110" s="3235"/>
      <c r="AH110" s="3235"/>
      <c r="AI110" s="3235"/>
      <c r="AJ110" s="3236"/>
      <c r="AK110" s="932"/>
      <c r="AL110" s="932"/>
      <c r="AM110" s="932"/>
      <c r="AN110" s="928"/>
      <c r="AO110" s="929">
        <f>Application!B738</f>
        <v>0</v>
      </c>
      <c r="AQ110" s="929">
        <f>Application!O738</f>
        <v>0</v>
      </c>
      <c r="AV110" s="929">
        <f>SUM(AV104:AV109)</f>
        <v>64</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213" t="s">
        <v>1884</v>
      </c>
      <c r="F112" s="3214"/>
      <c r="G112" s="3214"/>
      <c r="H112" s="3214"/>
      <c r="I112" s="1472"/>
      <c r="J112" s="3214" t="s">
        <v>1977</v>
      </c>
      <c r="K112" s="3214"/>
      <c r="L112" s="3214"/>
      <c r="M112" s="3214"/>
      <c r="N112" s="1472"/>
      <c r="O112" s="3214" t="s">
        <v>1978</v>
      </c>
      <c r="P112" s="3214"/>
      <c r="Q112" s="3214"/>
      <c r="R112" s="3214"/>
      <c r="S112" s="1472"/>
      <c r="T112" s="3214" t="s">
        <v>1602</v>
      </c>
      <c r="U112" s="3214"/>
      <c r="V112" s="3214"/>
      <c r="W112" s="3214"/>
      <c r="X112" s="1472"/>
      <c r="Y112" s="3214" t="s">
        <v>1979</v>
      </c>
      <c r="Z112" s="3214"/>
      <c r="AA112" s="3214"/>
      <c r="AB112" s="3214"/>
      <c r="AC112" s="1472"/>
      <c r="AD112" s="3214" t="s">
        <v>1980</v>
      </c>
      <c r="AE112" s="3214"/>
      <c r="AF112" s="3214"/>
      <c r="AG112" s="3214"/>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1981</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218"/>
      <c r="F115" s="3219"/>
      <c r="G115" s="3219"/>
      <c r="H115" s="3219"/>
      <c r="I115" s="1474"/>
      <c r="J115" s="3219">
        <v>1723</v>
      </c>
      <c r="K115" s="3219"/>
      <c r="L115" s="3219"/>
      <c r="M115" s="3219"/>
      <c r="N115" s="1474"/>
      <c r="O115" s="3219">
        <v>1961</v>
      </c>
      <c r="P115" s="3219"/>
      <c r="Q115" s="3219"/>
      <c r="R115" s="3219"/>
      <c r="S115" s="1474"/>
      <c r="T115" s="3219">
        <v>2168</v>
      </c>
      <c r="U115" s="3219"/>
      <c r="V115" s="3219"/>
      <c r="W115" s="3219"/>
      <c r="X115" s="1474"/>
      <c r="Y115" s="3219"/>
      <c r="Z115" s="3219"/>
      <c r="AA115" s="3219"/>
      <c r="AB115" s="3219"/>
      <c r="AC115" s="1474"/>
      <c r="AD115" s="3219"/>
      <c r="AE115" s="3219"/>
      <c r="AF115" s="3219"/>
      <c r="AG115" s="3219"/>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2365</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220">
        <f>Application!DX663</f>
        <v>0</v>
      </c>
      <c r="F118" s="3221"/>
      <c r="G118" s="3221"/>
      <c r="H118" s="3221"/>
      <c r="I118" s="1474"/>
      <c r="J118" s="3221">
        <f>Application!EC663</f>
        <v>581.06666666666661</v>
      </c>
      <c r="K118" s="3221"/>
      <c r="L118" s="3221"/>
      <c r="M118" s="3221"/>
      <c r="N118" s="1474"/>
      <c r="O118" s="3221">
        <f>Application!EH663</f>
        <v>715.31578947368416</v>
      </c>
      <c r="P118" s="3221"/>
      <c r="Q118" s="3221"/>
      <c r="R118" s="3221"/>
      <c r="S118" s="1478"/>
      <c r="T118" s="3221">
        <f>Application!EM663</f>
        <v>931.7</v>
      </c>
      <c r="U118" s="3221"/>
      <c r="V118" s="3221"/>
      <c r="W118" s="3221"/>
      <c r="X118" s="1478"/>
      <c r="Y118" s="3221">
        <f>Application!ER663</f>
        <v>0</v>
      </c>
      <c r="Z118" s="3221"/>
      <c r="AA118" s="3221"/>
      <c r="AB118" s="3221"/>
      <c r="AC118" s="1478"/>
      <c r="AD118" s="3221">
        <f>Application!EW663</f>
        <v>0</v>
      </c>
      <c r="AE118" s="3221"/>
      <c r="AF118" s="3221"/>
      <c r="AG118" s="3221"/>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2366</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006" t="e">
        <f>(E115-E118)/E115</f>
        <v>#DIV/0!</v>
      </c>
      <c r="F121" s="3007"/>
      <c r="G121" s="3007"/>
      <c r="H121" s="3008"/>
      <c r="I121" s="970"/>
      <c r="J121" s="3006">
        <f>(J115-J118)/J115</f>
        <v>0.66275875411104668</v>
      </c>
      <c r="K121" s="3007"/>
      <c r="L121" s="3007"/>
      <c r="M121" s="3008"/>
      <c r="N121" s="970"/>
      <c r="O121" s="3006">
        <f>(O115-O118)/O115</f>
        <v>0.6352290721704823</v>
      </c>
      <c r="P121" s="3007"/>
      <c r="Q121" s="3007"/>
      <c r="R121" s="3008"/>
      <c r="S121" s="970"/>
      <c r="T121" s="3006">
        <f>(T115-T118)/T115</f>
        <v>0.57024907749077491</v>
      </c>
      <c r="U121" s="3007"/>
      <c r="V121" s="3007"/>
      <c r="W121" s="3008"/>
      <c r="X121" s="970"/>
      <c r="Y121" s="3006" t="e">
        <f>(Y115-Y118)/Y115</f>
        <v>#DIV/0!</v>
      </c>
      <c r="Z121" s="3007"/>
      <c r="AA121" s="3007"/>
      <c r="AB121" s="3008"/>
      <c r="AC121" s="970"/>
      <c r="AD121" s="3006" t="e">
        <f>(AD115-AD118)/AD115</f>
        <v>#DIV/0!</v>
      </c>
      <c r="AE121" s="3007"/>
      <c r="AF121" s="3007"/>
      <c r="AG121" s="3008"/>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2367</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262" t="e">
        <f>IF(((E121-0.1)*AW104)&gt;0,((E121-0.1)*AW104),0)</f>
        <v>#DIV/0!</v>
      </c>
      <c r="F124" s="3263"/>
      <c r="G124" s="3263"/>
      <c r="H124" s="3264"/>
      <c r="I124" s="970"/>
      <c r="J124" s="3262">
        <f>IF(((J121-0.1)*AW105)&gt;0,((J121-0.1)*AW105),0)</f>
        <v>0.13189658299477658</v>
      </c>
      <c r="K124" s="3263"/>
      <c r="L124" s="3263"/>
      <c r="M124" s="3264"/>
      <c r="N124" s="970"/>
      <c r="O124" s="3262">
        <f>IF(((O121-0.1)*AW106)&gt;0,((O121-0.1)*AW106),0)</f>
        <v>0.15889613080061193</v>
      </c>
      <c r="P124" s="3263"/>
      <c r="Q124" s="3263"/>
      <c r="R124" s="3264"/>
      <c r="S124" s="970"/>
      <c r="T124" s="3262">
        <f>IF(((T121-0.1)*AW107)&gt;0,((T121-0.1)*AW107),0)</f>
        <v>0.22042925507380076</v>
      </c>
      <c r="U124" s="3263"/>
      <c r="V124" s="3263"/>
      <c r="W124" s="3264"/>
      <c r="X124" s="970"/>
      <c r="Y124" s="3262" t="e">
        <f>IF(((Y121-0.1)*AW108)&gt;0,((Y121-0.1)*AW108),0)</f>
        <v>#DIV/0!</v>
      </c>
      <c r="Z124" s="3263"/>
      <c r="AA124" s="3263"/>
      <c r="AB124" s="3264"/>
      <c r="AC124" s="970"/>
      <c r="AD124" s="3262" t="e">
        <f>IF(((AD121-0.1)*AW109)&gt;0,((AD121-0.1)*AW109),0)</f>
        <v>#DIV/0!</v>
      </c>
      <c r="AE124" s="3263"/>
      <c r="AF124" s="3263"/>
      <c r="AG124" s="3264"/>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006">
        <f>ROUNDDOWN(SUMIF(E124:AG124,"&gt;0"),2)</f>
        <v>0.51</v>
      </c>
      <c r="F126" s="3007"/>
      <c r="G126" s="3007"/>
      <c r="H126" s="3008"/>
      <c r="I126" s="1472"/>
      <c r="J126" s="1479" t="s">
        <v>2368</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199">
        <f>IF((E126*100)&gt;10,10,E126*100)</f>
        <v>10</v>
      </c>
      <c r="F127" s="3200"/>
      <c r="G127" s="3200"/>
      <c r="H127" s="3201"/>
      <c r="I127" s="970"/>
      <c r="J127" s="973" t="s">
        <v>1596</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1603</v>
      </c>
      <c r="AK131" s="3199">
        <f>E127</f>
        <v>10</v>
      </c>
      <c r="AL131" s="3200"/>
      <c r="AM131" s="3201"/>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1604</v>
      </c>
      <c r="AE134" s="3215" t="s">
        <v>1582</v>
      </c>
      <c r="AF134" s="3215"/>
      <c r="AG134" s="3215"/>
      <c r="AH134" s="3215"/>
      <c r="AI134" s="3215"/>
      <c r="AJ134" s="3215"/>
      <c r="AK134" s="3215"/>
      <c r="AL134" s="984"/>
      <c r="AM134" s="985"/>
      <c r="AN134" s="986"/>
      <c r="AO134" s="929"/>
    </row>
    <row r="135" spans="1:52" s="931" customFormat="1" ht="13.15" customHeight="1">
      <c r="A135" s="930"/>
      <c r="AE135" s="984"/>
      <c r="AF135" s="984"/>
      <c r="AG135" s="984"/>
      <c r="AH135" s="984"/>
      <c r="AI135" s="984"/>
      <c r="AJ135" s="984"/>
      <c r="AK135" s="984"/>
      <c r="AL135" s="984"/>
      <c r="AM135" s="985"/>
      <c r="AN135" s="986"/>
    </row>
    <row r="136" spans="1:52" s="926" customFormat="1" ht="12.75" customHeight="1">
      <c r="A136" s="930"/>
      <c r="B136" s="930" t="s">
        <v>1605</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145" t="s">
        <v>1606</v>
      </c>
      <c r="AG136" s="3145"/>
      <c r="AH136" s="3145"/>
      <c r="AI136" s="3145"/>
      <c r="AJ136" s="3145"/>
      <c r="AK136" s="3145"/>
      <c r="AL136" s="3145"/>
      <c r="AM136" s="985"/>
      <c r="AN136" s="925"/>
    </row>
    <row r="137" spans="1:52" s="926" customFormat="1" ht="12.75" customHeight="1">
      <c r="A137" s="930"/>
      <c r="B137" s="987" t="s">
        <v>564</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204" t="s">
        <v>2544</v>
      </c>
      <c r="C138" s="3204"/>
      <c r="D138" s="3204"/>
      <c r="E138" s="3204"/>
      <c r="F138" s="3204"/>
      <c r="G138" s="3204"/>
      <c r="H138" s="3204"/>
      <c r="I138" s="3204"/>
      <c r="J138" s="3204"/>
      <c r="K138" s="3204"/>
      <c r="L138" s="3204"/>
      <c r="M138" s="3204"/>
      <c r="N138" s="3204"/>
      <c r="O138" s="3204"/>
      <c r="P138" s="3204"/>
      <c r="Q138" s="3204"/>
      <c r="R138" s="3204"/>
      <c r="S138" s="3204"/>
      <c r="T138" s="3204"/>
      <c r="U138" s="3204"/>
      <c r="V138" s="3204"/>
      <c r="W138" s="3204"/>
      <c r="X138" s="3204"/>
      <c r="Y138" s="3204"/>
      <c r="Z138" s="3204"/>
      <c r="AA138" s="3204"/>
      <c r="AB138" s="3204"/>
      <c r="AC138" s="3204"/>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315</v>
      </c>
      <c r="AP139" s="937"/>
    </row>
    <row r="140" spans="1:52" s="926" customFormat="1" ht="12.75" customHeight="1">
      <c r="A140" s="930"/>
      <c r="B140" s="931" t="s">
        <v>1607</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1608</v>
      </c>
      <c r="AP140" s="994">
        <v>5</v>
      </c>
    </row>
    <row r="141" spans="1:52" s="926" customFormat="1" ht="12.75" customHeight="1">
      <c r="A141" s="930"/>
      <c r="B141" s="3205" t="s">
        <v>1609</v>
      </c>
      <c r="C141" s="3205"/>
      <c r="D141" s="3205"/>
      <c r="E141" s="3205"/>
      <c r="F141" s="3205"/>
      <c r="G141" s="3205"/>
      <c r="H141" s="3205"/>
      <c r="I141" s="3205"/>
      <c r="J141" s="3205"/>
      <c r="K141" s="3205"/>
      <c r="L141" s="3205"/>
      <c r="M141" s="3205"/>
      <c r="N141" s="3205"/>
      <c r="O141" s="3205"/>
      <c r="P141" s="3205"/>
      <c r="Q141" s="3205"/>
      <c r="R141" s="3205"/>
      <c r="S141" s="3205"/>
      <c r="T141" s="3205"/>
      <c r="U141" s="3205"/>
      <c r="V141" s="3205"/>
      <c r="W141" s="3205"/>
      <c r="X141" s="3205"/>
      <c r="Y141" s="3205"/>
      <c r="Z141" s="3205"/>
      <c r="AA141" s="3205"/>
      <c r="AB141" s="3205"/>
      <c r="AC141" s="3205"/>
      <c r="AD141" s="3205"/>
      <c r="AE141" s="3205"/>
      <c r="AF141" s="3205"/>
      <c r="AG141" s="3205"/>
      <c r="AH141" s="3205"/>
      <c r="AI141" s="3205"/>
      <c r="AM141" s="985"/>
      <c r="AN141" s="925"/>
      <c r="AO141" s="993" t="s">
        <v>1609</v>
      </c>
      <c r="AP141" s="994">
        <v>7</v>
      </c>
    </row>
    <row r="142" spans="1:52" s="926" customFormat="1" ht="13.1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1984</v>
      </c>
      <c r="AP142" s="994">
        <v>7</v>
      </c>
    </row>
    <row r="143" spans="1:52" s="926" customFormat="1" ht="12.75" customHeight="1">
      <c r="A143" s="995"/>
      <c r="B143" s="931" t="s">
        <v>1610</v>
      </c>
      <c r="AB143" s="3150" t="s">
        <v>625</v>
      </c>
      <c r="AC143" s="3150"/>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1611</v>
      </c>
      <c r="AP144" s="994"/>
    </row>
    <row r="145" spans="1:42" s="926" customFormat="1" ht="12.75" customHeight="1">
      <c r="A145" s="930"/>
      <c r="B145" s="987" t="s">
        <v>1612</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1613</v>
      </c>
      <c r="AP145" s="994">
        <v>5</v>
      </c>
    </row>
    <row r="146" spans="1:42" s="926" customFormat="1" ht="12.75" customHeight="1">
      <c r="A146" s="930"/>
      <c r="B146" s="3205" t="s">
        <v>1611</v>
      </c>
      <c r="C146" s="3205"/>
      <c r="D146" s="3205"/>
      <c r="E146" s="3205"/>
      <c r="F146" s="3205"/>
      <c r="G146" s="3205"/>
      <c r="H146" s="3205"/>
      <c r="I146" s="3205"/>
      <c r="J146" s="3205"/>
      <c r="K146" s="3205"/>
      <c r="L146" s="3205"/>
      <c r="M146" s="3205"/>
      <c r="N146" s="3205"/>
      <c r="O146" s="3205"/>
      <c r="P146" s="3205"/>
      <c r="Q146" s="3205"/>
      <c r="R146" s="3205"/>
      <c r="S146" s="3205"/>
      <c r="T146" s="3205"/>
      <c r="U146" s="3205"/>
      <c r="V146" s="3205"/>
      <c r="W146" s="3205"/>
      <c r="X146" s="3205"/>
      <c r="Y146" s="3205"/>
      <c r="Z146" s="3205"/>
      <c r="AA146" s="3205"/>
      <c r="AB146" s="3205"/>
      <c r="AC146" s="3205"/>
      <c r="AD146" s="3205"/>
      <c r="AE146" s="3205"/>
      <c r="AF146" s="3205"/>
      <c r="AG146" s="3205"/>
      <c r="AH146" s="3205"/>
      <c r="AI146" s="3205"/>
      <c r="AJ146" s="3205"/>
      <c r="AK146" s="1022"/>
      <c r="AL146" s="1022"/>
      <c r="AM146" s="1022"/>
      <c r="AN146" s="925"/>
      <c r="AO146" s="993" t="s">
        <v>1614</v>
      </c>
      <c r="AP146" s="994">
        <v>7</v>
      </c>
    </row>
    <row r="147" spans="1:42" s="926" customFormat="1" ht="12.75" customHeight="1">
      <c r="B147" s="1011" t="s">
        <v>1615</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1617</v>
      </c>
      <c r="AJ149" s="3206">
        <f>IF($AB$143="N/A",VLOOKUP($B$141,$AO$139:$AP$142,2,FALSE),VLOOKUP($B$146,$AO$144:$AP$147,2,FALSE))</f>
        <v>7</v>
      </c>
      <c r="AK149" s="3206"/>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1619</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145" t="s">
        <v>1620</v>
      </c>
      <c r="AG151" s="3145"/>
      <c r="AH151" s="3145"/>
      <c r="AI151" s="3145"/>
      <c r="AJ151" s="3145"/>
      <c r="AK151" s="3145"/>
      <c r="AL151" s="3145"/>
      <c r="AM151" s="1012"/>
      <c r="AN151" s="1002"/>
    </row>
    <row r="152" spans="1:42" s="942" customFormat="1" ht="12.75" customHeight="1">
      <c r="A152" s="926"/>
      <c r="B152" s="931" t="s">
        <v>1621</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205" t="s">
        <v>1618</v>
      </c>
      <c r="D153" s="3205"/>
      <c r="E153" s="3205"/>
      <c r="F153" s="3205"/>
      <c r="G153" s="3205"/>
      <c r="H153" s="3205"/>
      <c r="I153" s="3205"/>
      <c r="J153" s="3205"/>
      <c r="K153" s="3205"/>
      <c r="L153" s="3205"/>
      <c r="M153" s="3205"/>
      <c r="N153" s="3205"/>
      <c r="O153" s="3205"/>
      <c r="P153" s="3205"/>
      <c r="Q153" s="3205"/>
      <c r="R153" s="3205"/>
      <c r="S153" s="3205"/>
      <c r="T153" s="3205"/>
      <c r="U153" s="3205"/>
      <c r="V153" s="3205"/>
      <c r="W153" s="3205"/>
      <c r="X153" s="3205"/>
      <c r="Y153" s="3205"/>
      <c r="Z153" s="3205"/>
      <c r="AA153" s="3205"/>
      <c r="AB153" s="3205"/>
      <c r="AC153" s="3205"/>
      <c r="AD153" s="3205"/>
      <c r="AE153" s="3205"/>
      <c r="AF153" s="3205"/>
      <c r="AG153" s="3205"/>
      <c r="AH153" s="3205"/>
      <c r="AI153" s="3205"/>
      <c r="AJ153" s="929"/>
      <c r="AK153" s="929"/>
      <c r="AL153" s="929"/>
      <c r="AM153" s="1012"/>
      <c r="AN153" s="999"/>
      <c r="AO153" s="1003" t="s">
        <v>315</v>
      </c>
      <c r="AP153" s="997"/>
    </row>
    <row r="154" spans="1:42" s="942" customFormat="1" ht="13.1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1616</v>
      </c>
      <c r="AP154" s="1006">
        <v>2</v>
      </c>
    </row>
    <row r="155" spans="1:42" s="942" customFormat="1" ht="12.75" customHeight="1">
      <c r="A155" s="929"/>
      <c r="B155" s="929"/>
      <c r="C155" s="931" t="s">
        <v>1623</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150" t="s">
        <v>625</v>
      </c>
      <c r="AD155" s="3150"/>
      <c r="AE155" s="929"/>
      <c r="AF155" s="929"/>
      <c r="AG155" s="929"/>
      <c r="AH155" s="929"/>
      <c r="AI155" s="929"/>
      <c r="AJ155" s="929"/>
      <c r="AK155" s="929"/>
      <c r="AL155" s="929"/>
      <c r="AM155" s="1014"/>
      <c r="AN155" s="999"/>
      <c r="AO155" s="997" t="s">
        <v>1618</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1985</v>
      </c>
      <c r="AP156" s="1006">
        <v>3</v>
      </c>
    </row>
    <row r="157" spans="1:42" s="942" customFormat="1" ht="12.75" customHeight="1">
      <c r="A157" s="929"/>
      <c r="B157" s="929"/>
      <c r="C157" s="3205" t="s">
        <v>1611</v>
      </c>
      <c r="D157" s="3205"/>
      <c r="E157" s="3205"/>
      <c r="F157" s="3205"/>
      <c r="G157" s="3205"/>
      <c r="H157" s="3205"/>
      <c r="I157" s="3205"/>
      <c r="J157" s="3205"/>
      <c r="K157" s="3205"/>
      <c r="L157" s="3205"/>
      <c r="M157" s="3205"/>
      <c r="N157" s="3205"/>
      <c r="O157" s="3205"/>
      <c r="P157" s="3205"/>
      <c r="Q157" s="3205"/>
      <c r="R157" s="3205"/>
      <c r="S157" s="3205"/>
      <c r="T157" s="3205"/>
      <c r="U157" s="3205"/>
      <c r="V157" s="3205"/>
      <c r="W157" s="3205"/>
      <c r="X157" s="3205"/>
      <c r="Y157" s="3205"/>
      <c r="Z157" s="3205"/>
      <c r="AA157" s="3205"/>
      <c r="AB157" s="3205"/>
      <c r="AC157" s="3205"/>
      <c r="AD157" s="3205"/>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1615</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1625</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1611</v>
      </c>
      <c r="AP160" s="997"/>
    </row>
    <row r="161" spans="1:81" s="1001" customFormat="1" ht="12.75" customHeight="1">
      <c r="A161" s="926"/>
      <c r="B161" s="926"/>
      <c r="C161" s="3204" t="s">
        <v>2670</v>
      </c>
      <c r="D161" s="3204"/>
      <c r="E161" s="3204"/>
      <c r="F161" s="3204"/>
      <c r="G161" s="3204"/>
      <c r="H161" s="3204"/>
      <c r="I161" s="3204"/>
      <c r="J161" s="3204"/>
      <c r="K161" s="3204"/>
      <c r="L161" s="3204"/>
      <c r="M161" s="3204"/>
      <c r="N161" s="3204"/>
      <c r="O161" s="3204"/>
      <c r="P161" s="3204"/>
      <c r="Q161" s="3204"/>
      <c r="R161" s="3204"/>
      <c r="S161" s="3204"/>
      <c r="T161" s="3204"/>
      <c r="U161" s="3204"/>
      <c r="V161" s="3204"/>
      <c r="W161" s="3204"/>
      <c r="X161" s="3204"/>
      <c r="Y161" s="3204"/>
      <c r="Z161" s="3204"/>
      <c r="AA161" s="3204"/>
      <c r="AB161" s="3204"/>
      <c r="AC161" s="3204"/>
      <c r="AD161" s="3204"/>
      <c r="AE161" s="929"/>
      <c r="AF161" s="929"/>
      <c r="AG161" s="929"/>
      <c r="AH161" s="929"/>
      <c r="AI161" s="929"/>
      <c r="AJ161" s="929"/>
      <c r="AK161" s="929"/>
      <c r="AL161" s="929"/>
      <c r="AM161" s="1012"/>
      <c r="AN161" s="1000"/>
      <c r="AO161" s="997" t="s">
        <v>1622</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1624</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1626</v>
      </c>
      <c r="AJ163" s="3063">
        <f>IF($AC$155="N/A",VLOOKUP($C$153,$AO$153:$AP$156,2,FALSE),VLOOKUP($C$157,$AO$160:$AP$162,2,FALSE))</f>
        <v>3</v>
      </c>
      <c r="AK163" s="3063"/>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1627</v>
      </c>
      <c r="AK166" s="3199">
        <f>$AJ$149+$AJ$163</f>
        <v>10</v>
      </c>
      <c r="AL166" s="3200"/>
      <c r="AM166" s="3201"/>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1628</v>
      </c>
      <c r="AQ168" s="1029">
        <v>0</v>
      </c>
    </row>
    <row r="169" spans="1:81" s="942" customFormat="1" ht="12.75" customHeight="1">
      <c r="A169" s="987" t="s">
        <v>1629</v>
      </c>
      <c r="B169" s="987" t="s">
        <v>2223</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10" t="s">
        <v>1582</v>
      </c>
      <c r="AF169" s="3110"/>
      <c r="AG169" s="3110"/>
      <c r="AH169" s="3110"/>
      <c r="AI169" s="3110"/>
      <c r="AJ169" s="3110"/>
      <c r="AK169" s="3110"/>
      <c r="AL169" s="1600"/>
      <c r="AM169" s="1025"/>
      <c r="AN169" s="999"/>
      <c r="AP169" s="1001" t="s">
        <v>1153</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1630</v>
      </c>
      <c r="AQ170" s="942">
        <v>10</v>
      </c>
    </row>
    <row r="171" spans="1:81" s="942" customFormat="1" ht="12.75" customHeight="1">
      <c r="A171" s="926"/>
      <c r="B171" s="3202" t="s">
        <v>1153</v>
      </c>
      <c r="C171" s="3202"/>
      <c r="D171" s="3202"/>
      <c r="E171" s="3202"/>
      <c r="F171" s="3202"/>
      <c r="G171" s="3202"/>
      <c r="H171" s="3202"/>
      <c r="I171" s="3202"/>
      <c r="J171" s="3202"/>
      <c r="K171" s="3202"/>
      <c r="L171" s="3202"/>
      <c r="M171" s="3202"/>
      <c r="N171" s="3202"/>
      <c r="O171" s="3202"/>
      <c r="P171" s="3202"/>
      <c r="Q171" s="3202"/>
      <c r="R171" s="3202"/>
      <c r="S171" s="3202"/>
      <c r="T171" s="3202"/>
      <c r="U171" s="3202"/>
      <c r="V171" s="3202"/>
      <c r="W171" s="3202"/>
      <c r="X171" s="3202"/>
      <c r="Y171" s="3202"/>
      <c r="Z171" s="3202"/>
      <c r="AA171" s="3202"/>
      <c r="AB171" s="3202"/>
      <c r="AC171" s="3202"/>
      <c r="AD171" s="1022"/>
      <c r="AE171" s="1022"/>
      <c r="AF171" s="3145" t="s">
        <v>1631</v>
      </c>
      <c r="AG171" s="3145"/>
      <c r="AH171" s="3145"/>
      <c r="AI171" s="3145"/>
      <c r="AJ171" s="3145"/>
      <c r="AK171" s="3145"/>
      <c r="AL171" s="3145"/>
      <c r="AN171" s="999"/>
      <c r="AP171" s="942" t="s">
        <v>1155</v>
      </c>
      <c r="AQ171" s="942">
        <v>10</v>
      </c>
    </row>
    <row r="172" spans="1:81" s="942" customFormat="1" ht="12.75" customHeight="1">
      <c r="A172" s="926"/>
      <c r="B172" s="3203" t="s">
        <v>2222</v>
      </c>
      <c r="C172" s="3203"/>
      <c r="D172" s="3203"/>
      <c r="E172" s="3203"/>
      <c r="F172" s="3203"/>
      <c r="G172" s="3203"/>
      <c r="H172" s="3203"/>
      <c r="I172" s="3203"/>
      <c r="J172" s="3203"/>
      <c r="K172" s="3203"/>
      <c r="L172" s="3203"/>
      <c r="M172" s="3203"/>
      <c r="N172" s="3203"/>
      <c r="O172" s="3203"/>
      <c r="P172" s="3203"/>
      <c r="Q172" s="3203"/>
      <c r="R172" s="3203"/>
      <c r="S172" s="3203"/>
      <c r="T172" s="3204" t="s">
        <v>625</v>
      </c>
      <c r="U172" s="3204"/>
      <c r="V172" s="3204"/>
      <c r="W172" s="3204"/>
      <c r="X172" s="3204"/>
      <c r="Y172" s="3204"/>
      <c r="Z172" s="3204"/>
      <c r="AA172" s="3204"/>
      <c r="AB172" s="3204"/>
      <c r="AC172" s="3204"/>
      <c r="AD172" s="1005"/>
      <c r="AE172" s="1005"/>
      <c r="AF172" s="1005"/>
      <c r="AG172" s="1005"/>
      <c r="AH172" s="1005"/>
      <c r="AI172" s="1005"/>
      <c r="AJ172" s="1799"/>
      <c r="AK172" s="1004"/>
      <c r="AL172" s="1004"/>
      <c r="AM172" s="1004"/>
      <c r="AN172" s="999"/>
      <c r="AP172" s="942" t="s">
        <v>1154</v>
      </c>
      <c r="AQ172" s="942">
        <v>10</v>
      </c>
      <c r="AS172" s="942" t="s">
        <v>625</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1632</v>
      </c>
      <c r="AQ173" s="942">
        <v>10</v>
      </c>
      <c r="AS173" s="942" t="s">
        <v>1633</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1634</v>
      </c>
      <c r="AK174" s="3028">
        <f>IF(AK72&gt;0,VLOOKUP($B$171,AP168:AQ175,2,FALSE),0)</f>
        <v>10</v>
      </c>
      <c r="AL174" s="3029"/>
      <c r="AM174" s="3030"/>
      <c r="AN174" s="1038"/>
      <c r="AP174" s="942" t="s">
        <v>1635</v>
      </c>
      <c r="AQ174" s="942">
        <v>10</v>
      </c>
      <c r="AS174" s="942" t="s">
        <v>1636</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1637</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1638</v>
      </c>
      <c r="B177" s="987" t="s">
        <v>1639</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10" t="s">
        <v>1640</v>
      </c>
      <c r="AF177" s="3110"/>
      <c r="AG177" s="3110"/>
      <c r="AH177" s="3110"/>
      <c r="AI177" s="3110"/>
      <c r="AJ177" s="3110"/>
      <c r="AK177" s="3110"/>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1890</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1926</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196" t="s">
        <v>2609</v>
      </c>
      <c r="C182" s="3196"/>
      <c r="D182" s="3196"/>
      <c r="E182" s="3196"/>
      <c r="F182" s="3196"/>
      <c r="G182" s="3196"/>
      <c r="H182" s="3196"/>
      <c r="I182" s="3196"/>
      <c r="J182" s="3196"/>
      <c r="K182" s="3196"/>
      <c r="L182" s="3196"/>
      <c r="M182" s="3196"/>
      <c r="N182" s="3196"/>
      <c r="O182" s="3196"/>
      <c r="P182" s="3196"/>
      <c r="Q182" s="3196"/>
      <c r="R182" s="3196"/>
      <c r="S182" s="3196"/>
      <c r="T182" s="3196"/>
      <c r="U182" s="3196"/>
      <c r="V182" s="3196"/>
      <c r="W182" s="3196"/>
      <c r="X182" s="3196"/>
      <c r="Y182" s="3196"/>
      <c r="Z182" s="3196"/>
      <c r="AA182" s="3196"/>
      <c r="AB182" s="3196"/>
      <c r="AC182" s="1396"/>
      <c r="AD182" s="3186">
        <v>3235000</v>
      </c>
      <c r="AE182" s="3186"/>
      <c r="AF182" s="3186"/>
      <c r="AG182" s="3186"/>
      <c r="AH182" s="3186"/>
      <c r="AI182" s="3186"/>
      <c r="AJ182" s="3186"/>
      <c r="AK182" s="1023"/>
    </row>
    <row r="183" spans="1:37">
      <c r="A183" s="1015"/>
      <c r="B183" s="3196" t="s">
        <v>2685</v>
      </c>
      <c r="C183" s="3196"/>
      <c r="D183" s="3196"/>
      <c r="E183" s="3196"/>
      <c r="F183" s="3196"/>
      <c r="G183" s="3196"/>
      <c r="H183" s="3196"/>
      <c r="I183" s="3196"/>
      <c r="J183" s="3196"/>
      <c r="K183" s="3196"/>
      <c r="L183" s="3196"/>
      <c r="M183" s="3196"/>
      <c r="N183" s="3196"/>
      <c r="O183" s="3196"/>
      <c r="P183" s="3196"/>
      <c r="Q183" s="3196"/>
      <c r="R183" s="3196"/>
      <c r="S183" s="3196"/>
      <c r="T183" s="3196"/>
      <c r="U183" s="3196"/>
      <c r="V183" s="3196"/>
      <c r="W183" s="3196"/>
      <c r="X183" s="3196"/>
      <c r="Y183" s="3196"/>
      <c r="Z183" s="3196"/>
      <c r="AA183" s="3196"/>
      <c r="AB183" s="3196"/>
      <c r="AC183" s="1396"/>
      <c r="AD183" s="3186">
        <v>13003254</v>
      </c>
      <c r="AE183" s="3186"/>
      <c r="AF183" s="3186"/>
      <c r="AG183" s="3186"/>
      <c r="AH183" s="3186"/>
      <c r="AI183" s="3186"/>
      <c r="AJ183" s="3186"/>
      <c r="AK183" s="1023"/>
    </row>
    <row r="184" spans="1:37">
      <c r="A184" s="1015"/>
      <c r="B184" s="3196" t="s">
        <v>2627</v>
      </c>
      <c r="C184" s="3196"/>
      <c r="D184" s="3196"/>
      <c r="E184" s="3196"/>
      <c r="F184" s="3196"/>
      <c r="G184" s="3196"/>
      <c r="H184" s="3196"/>
      <c r="I184" s="3196"/>
      <c r="J184" s="3196"/>
      <c r="K184" s="3196"/>
      <c r="L184" s="3196"/>
      <c r="M184" s="3196"/>
      <c r="N184" s="3196"/>
      <c r="O184" s="3196"/>
      <c r="P184" s="3196"/>
      <c r="Q184" s="3196"/>
      <c r="R184" s="3196"/>
      <c r="S184" s="3196"/>
      <c r="T184" s="3196"/>
      <c r="U184" s="3196"/>
      <c r="V184" s="3196"/>
      <c r="W184" s="3196"/>
      <c r="X184" s="3196"/>
      <c r="Y184" s="3196"/>
      <c r="Z184" s="3196"/>
      <c r="AA184" s="3196"/>
      <c r="AB184" s="3196"/>
      <c r="AC184" s="1396"/>
      <c r="AD184" s="3186">
        <v>4000000</v>
      </c>
      <c r="AE184" s="3186"/>
      <c r="AF184" s="3186"/>
      <c r="AG184" s="3186"/>
      <c r="AH184" s="3186"/>
      <c r="AI184" s="3186"/>
      <c r="AJ184" s="3186"/>
      <c r="AK184" s="1023"/>
    </row>
    <row r="185" spans="1:37">
      <c r="A185" s="1015"/>
      <c r="B185" s="3196"/>
      <c r="C185" s="3196"/>
      <c r="D185" s="3196"/>
      <c r="E185" s="3196"/>
      <c r="F185" s="3196"/>
      <c r="G185" s="3196"/>
      <c r="H185" s="3196"/>
      <c r="I185" s="3196"/>
      <c r="J185" s="3196"/>
      <c r="K185" s="3196"/>
      <c r="L185" s="3196"/>
      <c r="M185" s="3196"/>
      <c r="N185" s="3196"/>
      <c r="O185" s="3196"/>
      <c r="P185" s="3196"/>
      <c r="Q185" s="3196"/>
      <c r="R185" s="3196"/>
      <c r="S185" s="3196"/>
      <c r="T185" s="3196"/>
      <c r="U185" s="3196"/>
      <c r="V185" s="3196"/>
      <c r="W185" s="3196"/>
      <c r="X185" s="3196"/>
      <c r="Y185" s="3196"/>
      <c r="Z185" s="3196"/>
      <c r="AA185" s="3196"/>
      <c r="AB185" s="3196"/>
      <c r="AC185" s="1396"/>
      <c r="AD185" s="3186"/>
      <c r="AE185" s="3186"/>
      <c r="AF185" s="3186"/>
      <c r="AG185" s="3186"/>
      <c r="AH185" s="3186"/>
      <c r="AI185" s="3186"/>
      <c r="AJ185" s="3186"/>
      <c r="AK185" s="1023"/>
    </row>
    <row r="186" spans="1:37">
      <c r="A186" s="1015"/>
      <c r="B186" s="3196"/>
      <c r="C186" s="3196"/>
      <c r="D186" s="3196"/>
      <c r="E186" s="3196"/>
      <c r="F186" s="3196"/>
      <c r="G186" s="3196"/>
      <c r="H186" s="3196"/>
      <c r="I186" s="3196"/>
      <c r="J186" s="3196"/>
      <c r="K186" s="3196"/>
      <c r="L186" s="3196"/>
      <c r="M186" s="3196"/>
      <c r="N186" s="3196"/>
      <c r="O186" s="3196"/>
      <c r="P186" s="3196"/>
      <c r="Q186" s="3196"/>
      <c r="R186" s="3196"/>
      <c r="S186" s="3196"/>
      <c r="T186" s="3196"/>
      <c r="U186" s="3196"/>
      <c r="V186" s="3196"/>
      <c r="W186" s="3196"/>
      <c r="X186" s="3196"/>
      <c r="Y186" s="3196"/>
      <c r="Z186" s="3196"/>
      <c r="AA186" s="3196"/>
      <c r="AB186" s="3196"/>
      <c r="AC186" s="1396"/>
      <c r="AD186" s="3186"/>
      <c r="AE186" s="3186"/>
      <c r="AF186" s="3186"/>
      <c r="AG186" s="3186"/>
      <c r="AH186" s="3186"/>
      <c r="AI186" s="3186"/>
      <c r="AJ186" s="3186"/>
      <c r="AK186" s="1023"/>
    </row>
    <row r="187" spans="1:37">
      <c r="A187" s="1015"/>
      <c r="B187" s="3196"/>
      <c r="C187" s="3196"/>
      <c r="D187" s="3196"/>
      <c r="E187" s="3196"/>
      <c r="F187" s="3196"/>
      <c r="G187" s="3196"/>
      <c r="H187" s="3196"/>
      <c r="I187" s="3196"/>
      <c r="J187" s="3196"/>
      <c r="K187" s="3196"/>
      <c r="L187" s="3196"/>
      <c r="M187" s="3196"/>
      <c r="N187" s="3196"/>
      <c r="O187" s="3196"/>
      <c r="P187" s="3196"/>
      <c r="Q187" s="3196"/>
      <c r="R187" s="3196"/>
      <c r="S187" s="3196"/>
      <c r="T187" s="3196"/>
      <c r="U187" s="3196"/>
      <c r="V187" s="3196"/>
      <c r="W187" s="3196"/>
      <c r="X187" s="3196"/>
      <c r="Y187" s="3196"/>
      <c r="Z187" s="3196"/>
      <c r="AA187" s="3196"/>
      <c r="AB187" s="3196"/>
      <c r="AC187" s="1396"/>
      <c r="AD187" s="3186"/>
      <c r="AE187" s="3186"/>
      <c r="AF187" s="3186"/>
      <c r="AG187" s="3186"/>
      <c r="AH187" s="3186"/>
      <c r="AI187" s="3186"/>
      <c r="AJ187" s="3186"/>
      <c r="AK187" s="1023"/>
    </row>
    <row r="188" spans="1:37">
      <c r="A188" s="1015"/>
      <c r="B188" s="3196"/>
      <c r="C188" s="3196"/>
      <c r="D188" s="3196"/>
      <c r="E188" s="3196"/>
      <c r="F188" s="3196"/>
      <c r="G188" s="3196"/>
      <c r="H188" s="3196"/>
      <c r="I188" s="3196"/>
      <c r="J188" s="3196"/>
      <c r="K188" s="3196"/>
      <c r="L188" s="3196"/>
      <c r="M188" s="3196"/>
      <c r="N188" s="3196"/>
      <c r="O188" s="3196"/>
      <c r="P188" s="3196"/>
      <c r="Q188" s="3196"/>
      <c r="R188" s="3196"/>
      <c r="S188" s="3196"/>
      <c r="T188" s="3196"/>
      <c r="U188" s="3196"/>
      <c r="V188" s="3196"/>
      <c r="W188" s="3196"/>
      <c r="X188" s="3196"/>
      <c r="Y188" s="3196"/>
      <c r="Z188" s="3196"/>
      <c r="AA188" s="3196"/>
      <c r="AB188" s="3196"/>
      <c r="AC188" s="1396"/>
      <c r="AD188" s="3186"/>
      <c r="AE188" s="3186"/>
      <c r="AF188" s="3186"/>
      <c r="AG188" s="3186"/>
      <c r="AH188" s="3186"/>
      <c r="AI188" s="3186"/>
      <c r="AJ188" s="3186"/>
      <c r="AK188" s="1023"/>
    </row>
    <row r="189" spans="1:37">
      <c r="A189" s="1015"/>
      <c r="B189" s="3196"/>
      <c r="C189" s="3196"/>
      <c r="D189" s="3196"/>
      <c r="E189" s="3196"/>
      <c r="F189" s="3196"/>
      <c r="G189" s="3196"/>
      <c r="H189" s="3196"/>
      <c r="I189" s="3196"/>
      <c r="J189" s="3196"/>
      <c r="K189" s="3196"/>
      <c r="L189" s="3196"/>
      <c r="M189" s="3196"/>
      <c r="N189" s="3196"/>
      <c r="O189" s="3196"/>
      <c r="P189" s="3196"/>
      <c r="Q189" s="3196"/>
      <c r="R189" s="3196"/>
      <c r="S189" s="3196"/>
      <c r="T189" s="3196"/>
      <c r="U189" s="3196"/>
      <c r="V189" s="3196"/>
      <c r="W189" s="3196"/>
      <c r="X189" s="3196"/>
      <c r="Y189" s="3196"/>
      <c r="Z189" s="3196"/>
      <c r="AA189" s="3196"/>
      <c r="AB189" s="3196"/>
      <c r="AC189" s="1396"/>
      <c r="AD189" s="3186"/>
      <c r="AE189" s="3186"/>
      <c r="AF189" s="3186"/>
      <c r="AG189" s="3186"/>
      <c r="AH189" s="3186"/>
      <c r="AI189" s="3186"/>
      <c r="AJ189" s="3186"/>
      <c r="AK189" s="1023"/>
    </row>
    <row r="190" spans="1:37">
      <c r="A190" s="1015"/>
      <c r="B190" s="3196"/>
      <c r="C190" s="3196"/>
      <c r="D190" s="3196"/>
      <c r="E190" s="3196"/>
      <c r="F190" s="3196"/>
      <c r="G190" s="3196"/>
      <c r="H190" s="3196"/>
      <c r="I190" s="3196"/>
      <c r="J190" s="3196"/>
      <c r="K190" s="3196"/>
      <c r="L190" s="3196"/>
      <c r="M190" s="3196"/>
      <c r="N190" s="3196"/>
      <c r="O190" s="3196"/>
      <c r="P190" s="3196"/>
      <c r="Q190" s="3196"/>
      <c r="R190" s="3196"/>
      <c r="S190" s="3196"/>
      <c r="T190" s="3196"/>
      <c r="U190" s="3196"/>
      <c r="V190" s="3196"/>
      <c r="W190" s="3196"/>
      <c r="X190" s="3196"/>
      <c r="Y190" s="3196"/>
      <c r="Z190" s="3196"/>
      <c r="AA190" s="3196"/>
      <c r="AB190" s="3196"/>
      <c r="AC190" s="1396"/>
      <c r="AD190" s="3186"/>
      <c r="AE190" s="3186"/>
      <c r="AF190" s="3186"/>
      <c r="AG190" s="3186"/>
      <c r="AH190" s="3186"/>
      <c r="AI190" s="3186"/>
      <c r="AJ190" s="3186"/>
      <c r="AK190" s="1023"/>
    </row>
    <row r="191" spans="1:37">
      <c r="A191" s="1015"/>
      <c r="B191" s="3196"/>
      <c r="C191" s="3196"/>
      <c r="D191" s="3196"/>
      <c r="E191" s="3196"/>
      <c r="F191" s="3196"/>
      <c r="G191" s="3196"/>
      <c r="H191" s="3196"/>
      <c r="I191" s="3196"/>
      <c r="J191" s="3196"/>
      <c r="K191" s="3196"/>
      <c r="L191" s="3196"/>
      <c r="M191" s="3196"/>
      <c r="N191" s="3196"/>
      <c r="O191" s="3196"/>
      <c r="P191" s="3196"/>
      <c r="Q191" s="3196"/>
      <c r="R191" s="3196"/>
      <c r="S191" s="3196"/>
      <c r="T191" s="3196"/>
      <c r="U191" s="3196"/>
      <c r="V191" s="3196"/>
      <c r="W191" s="3196"/>
      <c r="X191" s="3196"/>
      <c r="Y191" s="3196"/>
      <c r="Z191" s="3196"/>
      <c r="AA191" s="3196"/>
      <c r="AB191" s="3196"/>
      <c r="AC191" s="1396"/>
      <c r="AD191" s="3186"/>
      <c r="AE191" s="3186"/>
      <c r="AF191" s="3186"/>
      <c r="AG191" s="3186"/>
      <c r="AH191" s="3186"/>
      <c r="AI191" s="3186"/>
      <c r="AJ191" s="3186"/>
      <c r="AK191" s="1023"/>
    </row>
    <row r="192" spans="1:37">
      <c r="A192" s="1015"/>
      <c r="B192" s="3050" t="s">
        <v>1928</v>
      </c>
      <c r="C192" s="3050"/>
      <c r="D192" s="3050"/>
      <c r="E192" s="3050"/>
      <c r="F192" s="3050"/>
      <c r="G192" s="3050"/>
      <c r="H192" s="3050"/>
      <c r="I192" s="3050"/>
      <c r="J192" s="3050"/>
      <c r="K192" s="3050"/>
      <c r="L192" s="3050"/>
      <c r="M192" s="3050"/>
      <c r="N192" s="3050"/>
      <c r="O192" s="3050"/>
      <c r="P192" s="3050"/>
      <c r="Q192" s="3050"/>
      <c r="R192" s="3050"/>
      <c r="S192" s="3050"/>
      <c r="T192" s="3050"/>
      <c r="U192" s="3050"/>
      <c r="V192" s="3050"/>
      <c r="W192" s="3050"/>
      <c r="X192" s="3050"/>
      <c r="Y192" s="3050"/>
      <c r="Z192" s="3050"/>
      <c r="AA192" s="3050"/>
      <c r="AB192" s="3050"/>
      <c r="AC192" s="926"/>
      <c r="AD192" s="3184">
        <f>AB243</f>
        <v>8089016.4878096087</v>
      </c>
      <c r="AE192" s="3184"/>
      <c r="AF192" s="3184"/>
      <c r="AG192" s="3184"/>
      <c r="AH192" s="3184"/>
      <c r="AI192" s="3184"/>
      <c r="AJ192" s="3184"/>
      <c r="AK192" s="1023"/>
    </row>
    <row r="193" spans="1:37">
      <c r="A193" s="1015"/>
      <c r="B193" s="3048" t="s">
        <v>1891</v>
      </c>
      <c r="C193" s="3048"/>
      <c r="D193" s="3048"/>
      <c r="E193" s="3048"/>
      <c r="F193" s="3048"/>
      <c r="G193" s="3048"/>
      <c r="H193" s="3048"/>
      <c r="I193" s="3048"/>
      <c r="J193" s="3048"/>
      <c r="K193" s="3048"/>
      <c r="L193" s="3048"/>
      <c r="M193" s="3048"/>
      <c r="N193" s="3048"/>
      <c r="O193" s="3048"/>
      <c r="P193" s="3048"/>
      <c r="Q193" s="3048"/>
      <c r="R193" s="3048"/>
      <c r="S193" s="3048"/>
      <c r="T193" s="3048"/>
      <c r="U193" s="3048"/>
      <c r="V193" s="3048"/>
      <c r="W193" s="3048"/>
      <c r="X193" s="3048"/>
      <c r="Y193" s="3048"/>
      <c r="Z193" s="3048"/>
      <c r="AA193" s="3048"/>
      <c r="AB193" s="3048"/>
      <c r="AC193" s="1396"/>
      <c r="AD193" s="3185">
        <f>'Sources and Uses Budget'!B15</f>
        <v>0</v>
      </c>
      <c r="AE193" s="3185"/>
      <c r="AF193" s="3185"/>
      <c r="AG193" s="3185"/>
      <c r="AH193" s="3185"/>
      <c r="AI193" s="3185"/>
      <c r="AJ193" s="3185"/>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967</v>
      </c>
      <c r="AC194" s="926"/>
      <c r="AD194" s="3190">
        <f>SUM(AD182:AJ192)-AD193</f>
        <v>28327270.48780961</v>
      </c>
      <c r="AE194" s="3190"/>
      <c r="AF194" s="3190"/>
      <c r="AG194" s="3190"/>
      <c r="AH194" s="3190"/>
      <c r="AI194" s="3190"/>
      <c r="AJ194" s="3190"/>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1896</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1927</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1898</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1899</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1982</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1900</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1901</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5" t="s">
        <v>1983</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11" t="s">
        <v>1908</v>
      </c>
      <c r="J205" s="3211"/>
      <c r="K205" s="3211"/>
      <c r="L205" s="990"/>
      <c r="M205" s="990"/>
      <c r="N205" s="990"/>
      <c r="O205" s="990"/>
      <c r="P205" s="990"/>
      <c r="Q205" s="990"/>
      <c r="R205" s="990"/>
      <c r="S205" s="990"/>
      <c r="T205" s="3011" t="s">
        <v>1902</v>
      </c>
      <c r="U205" s="3011"/>
      <c r="V205" s="3011"/>
      <c r="W205" s="3011"/>
      <c r="X205" s="3011"/>
      <c r="Y205" s="3011"/>
      <c r="Z205" s="1400"/>
      <c r="AA205" s="1401"/>
      <c r="AB205" s="3207" t="s">
        <v>1903</v>
      </c>
      <c r="AC205" s="3207"/>
      <c r="AD205" s="3207"/>
      <c r="AE205" s="3207"/>
      <c r="AF205" s="3207"/>
      <c r="AG205" s="3207"/>
      <c r="AH205" s="1370"/>
      <c r="AI205" s="1370"/>
      <c r="AJ205" s="1370"/>
      <c r="AK205" s="1023"/>
    </row>
    <row r="206" spans="1:37">
      <c r="A206" s="1015"/>
      <c r="B206" s="3209" t="s">
        <v>1881</v>
      </c>
      <c r="C206" s="3209"/>
      <c r="D206" s="3209"/>
      <c r="E206" s="3209"/>
      <c r="F206" s="3209"/>
      <c r="G206" s="3209"/>
      <c r="I206" s="3210" t="s">
        <v>1909</v>
      </c>
      <c r="J206" s="3210"/>
      <c r="K206" s="3210"/>
      <c r="L206" s="1798"/>
      <c r="N206" s="3049" t="s">
        <v>1904</v>
      </c>
      <c r="O206" s="3049"/>
      <c r="P206" s="3049"/>
      <c r="Q206" s="3049"/>
      <c r="R206" s="3049"/>
      <c r="T206" s="3049" t="s">
        <v>1905</v>
      </c>
      <c r="U206" s="3049"/>
      <c r="V206" s="3049"/>
      <c r="W206" s="3049"/>
      <c r="X206" s="3049"/>
      <c r="Y206" s="3049"/>
      <c r="Z206" s="1402"/>
      <c r="AA206" s="1401"/>
      <c r="AB206" s="3052" t="s">
        <v>1906</v>
      </c>
      <c r="AC206" s="3052"/>
      <c r="AD206" s="3052"/>
      <c r="AE206" s="3052"/>
      <c r="AF206" s="3052"/>
      <c r="AG206" s="3052"/>
      <c r="AH206" s="1370"/>
      <c r="AI206" s="1370"/>
      <c r="AJ206" s="1370"/>
      <c r="AK206" s="1023"/>
    </row>
    <row r="207" spans="1:37">
      <c r="A207" s="1015"/>
      <c r="B207" s="3051" t="s">
        <v>2671</v>
      </c>
      <c r="C207" s="3051"/>
      <c r="D207" s="3051"/>
      <c r="E207" s="3051"/>
      <c r="F207" s="3051"/>
      <c r="G207" s="3051"/>
      <c r="H207" s="1404"/>
      <c r="I207" s="3016">
        <v>5</v>
      </c>
      <c r="J207" s="3016"/>
      <c r="K207" s="3016"/>
      <c r="L207" s="1798"/>
      <c r="N207" s="2123">
        <v>364</v>
      </c>
      <c r="O207" s="2124"/>
      <c r="P207" s="2124"/>
      <c r="Q207" s="2124"/>
      <c r="R207" s="2125"/>
      <c r="T207" s="3012">
        <v>1136</v>
      </c>
      <c r="U207" s="3012"/>
      <c r="V207" s="3012"/>
      <c r="W207" s="3012"/>
      <c r="X207" s="3012"/>
      <c r="Y207" s="3012"/>
      <c r="Z207" s="1403"/>
      <c r="AA207" s="1403"/>
      <c r="AB207" s="3010">
        <f t="shared" ref="AB207:AB216" si="0">MAX(($T207-$N207)*$I207*12,0)</f>
        <v>46320</v>
      </c>
      <c r="AC207" s="3010"/>
      <c r="AD207" s="3010"/>
      <c r="AE207" s="3010"/>
      <c r="AF207" s="3010"/>
      <c r="AG207" s="3010"/>
      <c r="AH207" s="1370"/>
      <c r="AI207" s="1370"/>
      <c r="AJ207" s="1370"/>
      <c r="AK207" s="1023"/>
    </row>
    <row r="208" spans="1:37">
      <c r="A208" s="1015"/>
      <c r="B208" s="3051" t="s">
        <v>2672</v>
      </c>
      <c r="C208" s="3051"/>
      <c r="D208" s="3051"/>
      <c r="E208" s="3051"/>
      <c r="F208" s="3051"/>
      <c r="G208" s="3051"/>
      <c r="I208" s="3016">
        <v>5</v>
      </c>
      <c r="J208" s="3016"/>
      <c r="K208" s="3016"/>
      <c r="L208" s="1798"/>
      <c r="N208" s="2123">
        <v>435</v>
      </c>
      <c r="O208" s="2124"/>
      <c r="P208" s="2124"/>
      <c r="Q208" s="2124"/>
      <c r="R208" s="2125"/>
      <c r="T208" s="3012">
        <v>1431</v>
      </c>
      <c r="U208" s="3012"/>
      <c r="V208" s="3012"/>
      <c r="W208" s="3012"/>
      <c r="X208" s="3012"/>
      <c r="Y208" s="3012"/>
      <c r="Z208" s="1403"/>
      <c r="AA208" s="1403"/>
      <c r="AB208" s="3010">
        <f t="shared" si="0"/>
        <v>59760</v>
      </c>
      <c r="AC208" s="3010"/>
      <c r="AD208" s="3010"/>
      <c r="AE208" s="3010"/>
      <c r="AF208" s="3010"/>
      <c r="AG208" s="3010"/>
      <c r="AH208" s="1370"/>
      <c r="AI208" s="1370"/>
      <c r="AJ208" s="1370"/>
      <c r="AK208" s="1023"/>
    </row>
    <row r="209" spans="1:37">
      <c r="A209" s="1015"/>
      <c r="B209" s="3051" t="s">
        <v>2673</v>
      </c>
      <c r="C209" s="3051"/>
      <c r="D209" s="3051"/>
      <c r="E209" s="3051"/>
      <c r="F209" s="3051"/>
      <c r="G209" s="3051"/>
      <c r="I209" s="3016">
        <v>3</v>
      </c>
      <c r="J209" s="3016"/>
      <c r="K209" s="3016"/>
      <c r="L209" s="1798"/>
      <c r="N209" s="2123">
        <v>500</v>
      </c>
      <c r="O209" s="2124"/>
      <c r="P209" s="2124"/>
      <c r="Q209" s="2124"/>
      <c r="R209" s="2125"/>
      <c r="T209" s="3012">
        <v>1992</v>
      </c>
      <c r="U209" s="3012"/>
      <c r="V209" s="3012"/>
      <c r="W209" s="3012"/>
      <c r="X209" s="3012"/>
      <c r="Y209" s="3012"/>
      <c r="Z209" s="1403"/>
      <c r="AA209" s="1403"/>
      <c r="AB209" s="3010">
        <f t="shared" si="0"/>
        <v>53712</v>
      </c>
      <c r="AC209" s="3010"/>
      <c r="AD209" s="3010"/>
      <c r="AE209" s="3010"/>
      <c r="AF209" s="3010"/>
      <c r="AG209" s="3010"/>
      <c r="AH209" s="1370"/>
      <c r="AI209" s="1370"/>
      <c r="AJ209" s="1370"/>
      <c r="AK209" s="1023"/>
    </row>
    <row r="210" spans="1:37">
      <c r="A210" s="1015"/>
      <c r="B210" s="3051" t="s">
        <v>2671</v>
      </c>
      <c r="C210" s="3051"/>
      <c r="D210" s="3051"/>
      <c r="E210" s="3051"/>
      <c r="F210" s="3051"/>
      <c r="G210" s="3051"/>
      <c r="I210" s="3016">
        <v>8</v>
      </c>
      <c r="J210" s="3016"/>
      <c r="K210" s="3016"/>
      <c r="L210" s="1798"/>
      <c r="N210" s="2123">
        <v>660</v>
      </c>
      <c r="O210" s="2124"/>
      <c r="P210" s="2124"/>
      <c r="Q210" s="2124"/>
      <c r="R210" s="2125"/>
      <c r="T210" s="3012">
        <v>1136</v>
      </c>
      <c r="U210" s="3012"/>
      <c r="V210" s="3012"/>
      <c r="W210" s="3012"/>
      <c r="X210" s="3012"/>
      <c r="Y210" s="3012"/>
      <c r="Z210" s="1403"/>
      <c r="AA210" s="1403"/>
      <c r="AB210" s="3010">
        <f t="shared" si="0"/>
        <v>45696</v>
      </c>
      <c r="AC210" s="3010"/>
      <c r="AD210" s="3010"/>
      <c r="AE210" s="3010"/>
      <c r="AF210" s="3010"/>
      <c r="AG210" s="3010"/>
      <c r="AH210" s="1370"/>
      <c r="AI210" s="1370"/>
      <c r="AJ210" s="1370"/>
      <c r="AK210" s="1023"/>
    </row>
    <row r="211" spans="1:37">
      <c r="A211" s="1015"/>
      <c r="B211" s="3051" t="s">
        <v>2672</v>
      </c>
      <c r="C211" s="3051"/>
      <c r="D211" s="3051"/>
      <c r="E211" s="3051"/>
      <c r="F211" s="3051"/>
      <c r="G211" s="3051"/>
      <c r="I211" s="3016">
        <v>12</v>
      </c>
      <c r="J211" s="3016"/>
      <c r="K211" s="3016"/>
      <c r="L211" s="1810"/>
      <c r="N211" s="2123">
        <v>790</v>
      </c>
      <c r="O211" s="2124"/>
      <c r="P211" s="2124"/>
      <c r="Q211" s="2124"/>
      <c r="R211" s="2125"/>
      <c r="T211" s="3012">
        <v>1431</v>
      </c>
      <c r="U211" s="3012"/>
      <c r="V211" s="3012"/>
      <c r="W211" s="3012"/>
      <c r="X211" s="3012"/>
      <c r="Y211" s="3012"/>
      <c r="Z211" s="1403"/>
      <c r="AA211" s="1403"/>
      <c r="AB211" s="3010">
        <f t="shared" si="0"/>
        <v>92304</v>
      </c>
      <c r="AC211" s="3010"/>
      <c r="AD211" s="3010"/>
      <c r="AE211" s="3010"/>
      <c r="AF211" s="3010"/>
      <c r="AG211" s="3010"/>
      <c r="AH211" s="1370"/>
      <c r="AI211" s="1370"/>
      <c r="AJ211" s="1370"/>
      <c r="AK211" s="1023"/>
    </row>
    <row r="212" spans="1:37">
      <c r="A212" s="1015"/>
      <c r="B212" s="3051" t="s">
        <v>2673</v>
      </c>
      <c r="C212" s="3051"/>
      <c r="D212" s="3051"/>
      <c r="E212" s="3051"/>
      <c r="F212" s="3051"/>
      <c r="G212" s="3051"/>
      <c r="I212" s="3016">
        <v>18</v>
      </c>
      <c r="J212" s="3016"/>
      <c r="K212" s="3016"/>
      <c r="L212" s="1810"/>
      <c r="N212" s="2123">
        <v>911</v>
      </c>
      <c r="O212" s="2124"/>
      <c r="P212" s="2124"/>
      <c r="Q212" s="2124"/>
      <c r="R212" s="2125"/>
      <c r="T212" s="3012">
        <v>1992</v>
      </c>
      <c r="U212" s="3012"/>
      <c r="V212" s="3012"/>
      <c r="W212" s="3012"/>
      <c r="X212" s="3012"/>
      <c r="Y212" s="3012"/>
      <c r="Z212" s="1403"/>
      <c r="AA212" s="1403"/>
      <c r="AB212" s="3010">
        <f t="shared" si="0"/>
        <v>233496</v>
      </c>
      <c r="AC212" s="3010"/>
      <c r="AD212" s="3010"/>
      <c r="AE212" s="3010"/>
      <c r="AF212" s="3010"/>
      <c r="AG212" s="3010"/>
      <c r="AH212" s="1370"/>
      <c r="AI212" s="1370"/>
      <c r="AJ212" s="1370"/>
      <c r="AK212" s="1023"/>
    </row>
    <row r="213" spans="1:37">
      <c r="A213" s="1015"/>
      <c r="B213" s="3051" t="s">
        <v>2671</v>
      </c>
      <c r="C213" s="3051"/>
      <c r="D213" s="3051"/>
      <c r="E213" s="3051"/>
      <c r="F213" s="3051"/>
      <c r="G213" s="3051"/>
      <c r="I213" s="3016">
        <v>2</v>
      </c>
      <c r="J213" s="3016"/>
      <c r="K213" s="3016"/>
      <c r="L213" s="1810"/>
      <c r="N213" s="2123">
        <v>808</v>
      </c>
      <c r="O213" s="2124"/>
      <c r="P213" s="2124"/>
      <c r="Q213" s="2124"/>
      <c r="R213" s="2125"/>
      <c r="T213" s="3012">
        <v>1136</v>
      </c>
      <c r="U213" s="3012"/>
      <c r="V213" s="3012"/>
      <c r="W213" s="3012"/>
      <c r="X213" s="3012"/>
      <c r="Y213" s="3012"/>
      <c r="Z213" s="1403"/>
      <c r="AA213" s="1403"/>
      <c r="AB213" s="3010">
        <f t="shared" si="0"/>
        <v>7872</v>
      </c>
      <c r="AC213" s="3010"/>
      <c r="AD213" s="3010"/>
      <c r="AE213" s="3010"/>
      <c r="AF213" s="3010"/>
      <c r="AG213" s="3010"/>
      <c r="AH213" s="1370"/>
      <c r="AI213" s="1370"/>
      <c r="AJ213" s="1370"/>
      <c r="AK213" s="1023"/>
    </row>
    <row r="214" spans="1:37">
      <c r="A214" s="1015"/>
      <c r="B214" s="3051" t="s">
        <v>2672</v>
      </c>
      <c r="C214" s="3051"/>
      <c r="D214" s="3051"/>
      <c r="E214" s="3051"/>
      <c r="F214" s="3051"/>
      <c r="G214" s="3051"/>
      <c r="I214" s="3016">
        <v>2</v>
      </c>
      <c r="J214" s="3016"/>
      <c r="K214" s="3016"/>
      <c r="L214" s="1810"/>
      <c r="N214" s="2123">
        <v>968</v>
      </c>
      <c r="O214" s="2124"/>
      <c r="P214" s="2124"/>
      <c r="Q214" s="2124"/>
      <c r="R214" s="2125"/>
      <c r="T214" s="3012">
        <v>1431</v>
      </c>
      <c r="U214" s="3012"/>
      <c r="V214" s="3012"/>
      <c r="W214" s="3012"/>
      <c r="X214" s="3012"/>
      <c r="Y214" s="3012"/>
      <c r="Z214" s="1403"/>
      <c r="AA214" s="1403"/>
      <c r="AB214" s="3010">
        <f t="shared" si="0"/>
        <v>11112</v>
      </c>
      <c r="AC214" s="3010"/>
      <c r="AD214" s="3010"/>
      <c r="AE214" s="3010"/>
      <c r="AF214" s="3010"/>
      <c r="AG214" s="3010"/>
      <c r="AH214" s="1370"/>
      <c r="AI214" s="1370"/>
      <c r="AJ214" s="1370"/>
      <c r="AK214" s="1023"/>
    </row>
    <row r="215" spans="1:37">
      <c r="A215" s="1015"/>
      <c r="B215" s="3051" t="s">
        <v>2673</v>
      </c>
      <c r="C215" s="3051"/>
      <c r="D215" s="3051"/>
      <c r="E215" s="3051"/>
      <c r="F215" s="3051"/>
      <c r="G215" s="3051"/>
      <c r="I215" s="3016">
        <v>9</v>
      </c>
      <c r="J215" s="3016"/>
      <c r="K215" s="3016"/>
      <c r="L215" s="1810"/>
      <c r="N215" s="2123">
        <v>1117</v>
      </c>
      <c r="O215" s="2124"/>
      <c r="P215" s="2124"/>
      <c r="Q215" s="2124"/>
      <c r="R215" s="2125"/>
      <c r="T215" s="3012">
        <v>1992</v>
      </c>
      <c r="U215" s="3012"/>
      <c r="V215" s="3012"/>
      <c r="W215" s="3012"/>
      <c r="X215" s="3012"/>
      <c r="Y215" s="3012"/>
      <c r="Z215" s="1403"/>
      <c r="AA215" s="1403"/>
      <c r="AB215" s="3010">
        <f t="shared" si="0"/>
        <v>94500</v>
      </c>
      <c r="AC215" s="3010"/>
      <c r="AD215" s="3010"/>
      <c r="AE215" s="3010"/>
      <c r="AF215" s="3010"/>
      <c r="AG215" s="3010"/>
      <c r="AH215" s="1370"/>
      <c r="AI215" s="1370"/>
      <c r="AJ215" s="1370"/>
      <c r="AK215" s="1023"/>
    </row>
    <row r="216" spans="1:37">
      <c r="A216" s="1015"/>
      <c r="B216" s="3051" t="s">
        <v>1382</v>
      </c>
      <c r="C216" s="3051"/>
      <c r="D216" s="3051"/>
      <c r="E216" s="3051"/>
      <c r="F216" s="3051"/>
      <c r="G216" s="3051"/>
      <c r="I216" s="3212"/>
      <c r="J216" s="3212"/>
      <c r="K216" s="3212"/>
      <c r="L216" s="1810"/>
      <c r="N216" s="3013"/>
      <c r="O216" s="3013"/>
      <c r="P216" s="3013"/>
      <c r="Q216" s="3013"/>
      <c r="R216" s="3013"/>
      <c r="T216" s="3012"/>
      <c r="U216" s="3012"/>
      <c r="V216" s="3012"/>
      <c r="W216" s="3012"/>
      <c r="X216" s="3012"/>
      <c r="Y216" s="3012"/>
      <c r="Z216" s="1403"/>
      <c r="AA216" s="1403"/>
      <c r="AB216" s="3018">
        <f t="shared" si="0"/>
        <v>0</v>
      </c>
      <c r="AC216" s="3018"/>
      <c r="AD216" s="3018"/>
      <c r="AE216" s="3018"/>
      <c r="AF216" s="3018"/>
      <c r="AG216" s="3018"/>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1907</v>
      </c>
      <c r="AA217" s="1797"/>
      <c r="AB217" s="3010">
        <f>SUM(AB207:AB216)</f>
        <v>644772</v>
      </c>
      <c r="AC217" s="3010"/>
      <c r="AD217" s="3010"/>
      <c r="AE217" s="3010"/>
      <c r="AF217" s="3010"/>
      <c r="AG217" s="3010"/>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1897</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1925</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1923</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1917</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053"/>
      <c r="AC223" s="3053"/>
      <c r="AD223" s="3053"/>
      <c r="AE223" s="3053"/>
      <c r="AF223" s="3053"/>
      <c r="AG223" s="3053"/>
      <c r="AH223" s="1023"/>
      <c r="AI223" s="1023"/>
      <c r="AJ223" s="1023"/>
      <c r="AK223" s="1023"/>
    </row>
    <row r="224" spans="1:37">
      <c r="A224" s="1015"/>
      <c r="B224" s="1382" t="s">
        <v>1922</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1924</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1918</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053">
        <v>4487760</v>
      </c>
      <c r="AC226" s="3053"/>
      <c r="AD226" s="3053"/>
      <c r="AE226" s="3053"/>
      <c r="AF226" s="3053"/>
      <c r="AG226" s="3053"/>
      <c r="AH226" s="1023"/>
      <c r="AI226" s="1023"/>
      <c r="AJ226" s="1023"/>
      <c r="AK226" s="1023"/>
    </row>
    <row r="227" spans="1:37">
      <c r="A227" s="1015"/>
      <c r="B227" s="1383" t="s">
        <v>1919</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09">
        <v>20</v>
      </c>
      <c r="AC227" s="3009"/>
      <c r="AD227" s="3009"/>
      <c r="AE227" s="3009"/>
      <c r="AF227" s="3009"/>
      <c r="AG227" s="3009"/>
      <c r="AH227" s="1023"/>
      <c r="AI227" s="1023"/>
      <c r="AJ227" s="1023"/>
      <c r="AK227" s="1023"/>
    </row>
    <row r="228" spans="1:37">
      <c r="A228" s="1015"/>
      <c r="B228" s="1383" t="s">
        <v>1920</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19">
        <f>IFERROR(AB226/AB227,0)</f>
        <v>224388</v>
      </c>
      <c r="AC228" s="3019"/>
      <c r="AD228" s="3019"/>
      <c r="AE228" s="3019"/>
      <c r="AF228" s="3019"/>
      <c r="AG228" s="3019"/>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1921</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047">
        <f>MAX(AB223,AB228)</f>
        <v>224388</v>
      </c>
      <c r="AC230" s="3047"/>
      <c r="AD230" s="3047"/>
      <c r="AE230" s="3047"/>
      <c r="AF230" s="3047"/>
      <c r="AG230" s="3047"/>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1910</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17">
        <f>AB217+AB230</f>
        <v>869160</v>
      </c>
      <c r="AC233" s="3017"/>
      <c r="AD233" s="3017"/>
      <c r="AE233" s="3017"/>
      <c r="AF233" s="3017"/>
      <c r="AG233" s="3017"/>
      <c r="AH233" s="1023"/>
      <c r="AI233" s="1023"/>
      <c r="AJ233" s="1023"/>
      <c r="AK233" s="1023"/>
    </row>
    <row r="234" spans="1:37">
      <c r="A234" s="1015"/>
      <c r="B234" s="997" t="s">
        <v>900</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94">
        <v>0.05</v>
      </c>
      <c r="AC234" s="3194"/>
      <c r="AD234" s="3194"/>
      <c r="AE234" s="3194"/>
      <c r="AF234" s="3194"/>
      <c r="AG234" s="3194"/>
      <c r="AH234" s="1023"/>
      <c r="AI234" s="1023"/>
      <c r="AJ234" s="1023"/>
      <c r="AK234" s="1023"/>
    </row>
    <row r="235" spans="1:37">
      <c r="A235" s="1015"/>
      <c r="B235" s="997" t="s">
        <v>1911</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195">
        <f>AB233-(AB233*AB234)</f>
        <v>825702</v>
      </c>
      <c r="AC235" s="3195"/>
      <c r="AD235" s="3195"/>
      <c r="AE235" s="3195"/>
      <c r="AF235" s="3195"/>
      <c r="AG235" s="3195"/>
      <c r="AH235" s="1023"/>
      <c r="AI235" s="1023"/>
      <c r="AJ235" s="1023"/>
      <c r="AK235" s="1023"/>
    </row>
    <row r="236" spans="1:37">
      <c r="A236" s="1015"/>
      <c r="B236" s="997" t="s">
        <v>1912</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1913</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17">
        <f>AB235/AB241</f>
        <v>718001.73913043481</v>
      </c>
      <c r="AC237" s="3017"/>
      <c r="AD237" s="3017"/>
      <c r="AE237" s="3017"/>
      <c r="AF237" s="3017"/>
      <c r="AG237" s="3017"/>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1914</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08">
        <v>15</v>
      </c>
      <c r="AC239" s="3208"/>
      <c r="AD239" s="3208"/>
      <c r="AE239" s="3208"/>
      <c r="AF239" s="3208"/>
      <c r="AG239" s="3208"/>
      <c r="AH239" s="1023"/>
      <c r="AI239" s="1023"/>
      <c r="AJ239" s="1023"/>
      <c r="AK239" s="1023"/>
    </row>
    <row r="240" spans="1:37">
      <c r="A240" s="1015"/>
      <c r="B240" s="997" t="s">
        <v>1915</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197">
        <v>0.04</v>
      </c>
      <c r="AC240" s="3197"/>
      <c r="AD240" s="3197"/>
      <c r="AE240" s="3197"/>
      <c r="AF240" s="3197"/>
      <c r="AG240" s="3197"/>
      <c r="AH240" s="1023"/>
      <c r="AI240" s="1023"/>
      <c r="AJ240" s="1023"/>
      <c r="AK240" s="1023"/>
    </row>
    <row r="241" spans="1:39">
      <c r="A241" s="1015"/>
      <c r="B241" s="997" t="s">
        <v>912</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98">
        <v>1.1499999999999999</v>
      </c>
      <c r="AC241" s="3198"/>
      <c r="AD241" s="3198"/>
      <c r="AE241" s="3198"/>
      <c r="AF241" s="3198"/>
      <c r="AG241" s="3198"/>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1916</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187">
        <f>PV(AB240/12,AB239*12,-AB237/12, ,0)</f>
        <v>8089016.4878096087</v>
      </c>
      <c r="AC243" s="3188"/>
      <c r="AD243" s="3188"/>
      <c r="AE243" s="3188"/>
      <c r="AF243" s="3188"/>
      <c r="AG243" s="3189"/>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1892</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1895</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1894</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1893</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91">
        <f>IFERROR(('Sources and Uses Budget'!D105/'Sources and Uses Budget'!B105),0)</f>
        <v>0</v>
      </c>
      <c r="AC249" s="3192"/>
      <c r="AD249" s="3192"/>
      <c r="AE249" s="3192"/>
      <c r="AF249" s="3192"/>
      <c r="AG249" s="3193"/>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1641</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25">
        <f>AD194*(1-AB249)</f>
        <v>28327270.48780961</v>
      </c>
      <c r="AH251" s="3025"/>
      <c r="AI251" s="3025"/>
      <c r="AJ251" s="3025"/>
      <c r="AK251" s="3025"/>
    </row>
    <row r="252" spans="1:39">
      <c r="A252" s="1044"/>
      <c r="B252" s="1048" t="s">
        <v>1642</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25">
        <f>'Sources and Uses Budget'!C105</f>
        <v>38889247</v>
      </c>
      <c r="AH252" s="3025"/>
      <c r="AI252" s="3025"/>
      <c r="AJ252" s="3025"/>
      <c r="AK252" s="3025"/>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183">
        <f>ROUNDDOWN(IF(AND(C274="Yes",AK72=10),((AG251*2)/AG252),AG251/AG252),2)</f>
        <v>0.72</v>
      </c>
      <c r="AH253" s="3183"/>
      <c r="AI253" s="3183"/>
      <c r="AJ253" s="3183"/>
      <c r="AK253" s="3183"/>
    </row>
    <row r="254" spans="1:39">
      <c r="A254" s="1044"/>
      <c r="B254" s="1698" t="s">
        <v>2238</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1643</v>
      </c>
      <c r="AK256" s="3176">
        <f>IF(AG253=0,0,IF((AG253*100)&gt;8,8,(AG253*100)))</f>
        <v>8</v>
      </c>
      <c r="AL256" s="3176"/>
      <c r="AM256" s="3177"/>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1644</v>
      </c>
      <c r="B259" s="987" t="s">
        <v>1645</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1582</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9" customHeight="1">
      <c r="A261" s="1059"/>
      <c r="B261" s="1064"/>
      <c r="C261" s="3042" t="s">
        <v>577</v>
      </c>
      <c r="D261" s="3042"/>
      <c r="E261" s="939"/>
      <c r="F261" s="2993" t="s">
        <v>2412</v>
      </c>
      <c r="G261" s="2994"/>
      <c r="H261" s="2994"/>
      <c r="I261" s="2994"/>
      <c r="J261" s="2994"/>
      <c r="K261" s="2994"/>
      <c r="L261" s="2994"/>
      <c r="M261" s="2994"/>
      <c r="N261" s="2994"/>
      <c r="O261" s="2994"/>
      <c r="P261" s="2994"/>
      <c r="Q261" s="2994"/>
      <c r="R261" s="2994"/>
      <c r="S261" s="2994"/>
      <c r="T261" s="2994"/>
      <c r="U261" s="2994"/>
      <c r="V261" s="2994"/>
      <c r="W261" s="2994"/>
      <c r="X261" s="2994"/>
      <c r="Y261" s="2994"/>
      <c r="Z261" s="2994"/>
      <c r="AA261" s="2994"/>
      <c r="AB261" s="2994"/>
      <c r="AC261" s="2994"/>
      <c r="AD261" s="2995"/>
      <c r="AE261" s="942"/>
      <c r="AF261" s="1065"/>
      <c r="AG261" s="3181" t="s">
        <v>1631</v>
      </c>
      <c r="AH261" s="3181"/>
      <c r="AI261" s="3181"/>
      <c r="AJ261" s="3181"/>
      <c r="AK261" s="1025"/>
      <c r="AL261" s="1025"/>
      <c r="AM261" s="1025"/>
      <c r="AN261" s="1060"/>
      <c r="AO261" s="942"/>
      <c r="AS261" s="21"/>
      <c r="AT261" s="21"/>
    </row>
    <row r="262" spans="1:81" ht="13.9" customHeight="1">
      <c r="A262" s="1059"/>
      <c r="B262" s="1064"/>
      <c r="C262" s="1066"/>
      <c r="D262" s="942"/>
      <c r="E262" s="939"/>
      <c r="F262" s="2996"/>
      <c r="G262" s="2997"/>
      <c r="H262" s="2997"/>
      <c r="I262" s="2997"/>
      <c r="J262" s="2997"/>
      <c r="K262" s="2997"/>
      <c r="L262" s="2997"/>
      <c r="M262" s="2997"/>
      <c r="N262" s="2997"/>
      <c r="O262" s="2997"/>
      <c r="P262" s="2997"/>
      <c r="Q262" s="2997"/>
      <c r="R262" s="2997"/>
      <c r="S262" s="2997"/>
      <c r="T262" s="2997"/>
      <c r="U262" s="2997"/>
      <c r="V262" s="2997"/>
      <c r="W262" s="2997"/>
      <c r="X262" s="2997"/>
      <c r="Y262" s="2997"/>
      <c r="Z262" s="2997"/>
      <c r="AA262" s="2997"/>
      <c r="AB262" s="2997"/>
      <c r="AC262" s="2997"/>
      <c r="AD262" s="2998"/>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2996"/>
      <c r="G263" s="2997"/>
      <c r="H263" s="2997"/>
      <c r="I263" s="2997"/>
      <c r="J263" s="2997"/>
      <c r="K263" s="2997"/>
      <c r="L263" s="2997"/>
      <c r="M263" s="2997"/>
      <c r="N263" s="2997"/>
      <c r="O263" s="2997"/>
      <c r="P263" s="2997"/>
      <c r="Q263" s="2997"/>
      <c r="R263" s="2997"/>
      <c r="S263" s="2997"/>
      <c r="T263" s="2997"/>
      <c r="U263" s="2997"/>
      <c r="V263" s="2997"/>
      <c r="W263" s="2997"/>
      <c r="X263" s="2997"/>
      <c r="Y263" s="2997"/>
      <c r="Z263" s="2997"/>
      <c r="AA263" s="2997"/>
      <c r="AB263" s="2997"/>
      <c r="AC263" s="2997"/>
      <c r="AD263" s="2998"/>
      <c r="AE263" s="942"/>
      <c r="AF263" s="1065"/>
      <c r="AG263" s="1065"/>
      <c r="AH263" s="1065"/>
      <c r="AI263" s="1065"/>
      <c r="AJ263" s="942"/>
      <c r="AK263" s="1025"/>
      <c r="AL263" s="1025"/>
      <c r="AM263" s="1025"/>
      <c r="AN263" s="1060"/>
      <c r="AO263" s="942"/>
      <c r="AP263" s="1067"/>
      <c r="AS263" s="21"/>
      <c r="AT263" s="21"/>
    </row>
    <row r="264" spans="1:81" ht="13.9" customHeight="1">
      <c r="A264" s="1059"/>
      <c r="B264" s="1064"/>
      <c r="C264" s="3182"/>
      <c r="D264" s="3182"/>
      <c r="E264" s="939"/>
      <c r="F264" s="2999"/>
      <c r="G264" s="3000"/>
      <c r="H264" s="3000"/>
      <c r="I264" s="3000"/>
      <c r="J264" s="3000"/>
      <c r="K264" s="3000"/>
      <c r="L264" s="3000"/>
      <c r="M264" s="3000"/>
      <c r="N264" s="3000"/>
      <c r="O264" s="3000"/>
      <c r="P264" s="3000"/>
      <c r="Q264" s="3000"/>
      <c r="R264" s="3000"/>
      <c r="S264" s="3000"/>
      <c r="T264" s="3000"/>
      <c r="U264" s="3000"/>
      <c r="V264" s="3000"/>
      <c r="W264" s="3000"/>
      <c r="X264" s="3000"/>
      <c r="Y264" s="3000"/>
      <c r="Z264" s="3000"/>
      <c r="AA264" s="3000"/>
      <c r="AB264" s="3000"/>
      <c r="AC264" s="3000"/>
      <c r="AD264" s="3001"/>
      <c r="AE264" s="942"/>
      <c r="AF264" s="1065"/>
      <c r="AG264" s="3181"/>
      <c r="AH264" s="3181"/>
      <c r="AI264" s="3181"/>
      <c r="AJ264" s="3181"/>
      <c r="AK264" s="1025"/>
      <c r="AL264" s="1025"/>
      <c r="AM264" s="1025"/>
      <c r="AN264" s="1060"/>
      <c r="AS264" s="21"/>
      <c r="AT264" s="21"/>
    </row>
    <row r="265" spans="1:81" ht="13.9"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1647</v>
      </c>
      <c r="AK267" s="3176">
        <f>IF($C$261="yes",10,0)</f>
        <v>10</v>
      </c>
      <c r="AL267" s="3176"/>
      <c r="AM267" s="3177"/>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1648</v>
      </c>
      <c r="B270" s="987" t="s">
        <v>2378</v>
      </c>
      <c r="AH270" s="1033" t="s">
        <v>1561</v>
      </c>
    </row>
    <row r="271" spans="1:81" ht="15" customHeight="1">
      <c r="B271" s="931" t="s">
        <v>2377</v>
      </c>
    </row>
    <row r="272" spans="1:81" ht="15" customHeight="1">
      <c r="B272" s="931" t="s">
        <v>2379</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54" t="s">
        <v>1650</v>
      </c>
      <c r="B274" s="3154"/>
      <c r="C274" s="3042" t="s">
        <v>625</v>
      </c>
      <c r="D274" s="3042"/>
      <c r="E274" s="939"/>
      <c r="F274" s="3178" t="s">
        <v>1651</v>
      </c>
      <c r="G274" s="3179"/>
      <c r="H274" s="3179"/>
      <c r="I274" s="3179"/>
      <c r="J274" s="3179"/>
      <c r="K274" s="3179"/>
      <c r="L274" s="3179"/>
      <c r="M274" s="3179"/>
      <c r="N274" s="3179"/>
      <c r="O274" s="3179"/>
      <c r="P274" s="3179"/>
      <c r="Q274" s="3179"/>
      <c r="R274" s="3179"/>
      <c r="S274" s="3179"/>
      <c r="T274" s="3179"/>
      <c r="U274" s="3179"/>
      <c r="V274" s="3179"/>
      <c r="W274" s="3179"/>
      <c r="X274" s="3179"/>
      <c r="Y274" s="3179"/>
      <c r="Z274" s="3179"/>
      <c r="AA274" s="3179"/>
      <c r="AB274" s="3179"/>
      <c r="AC274" s="3179"/>
      <c r="AD274" s="3180"/>
      <c r="AE274" s="1077"/>
      <c r="AF274" s="942"/>
      <c r="AG274" s="985" t="s">
        <v>1652</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71"/>
      <c r="G275" s="3046"/>
      <c r="H275" s="3046"/>
      <c r="I275" s="3046"/>
      <c r="J275" s="3046"/>
      <c r="K275" s="3046"/>
      <c r="L275" s="3046"/>
      <c r="M275" s="3046"/>
      <c r="N275" s="3046"/>
      <c r="O275" s="3046"/>
      <c r="P275" s="3046"/>
      <c r="Q275" s="3046"/>
      <c r="R275" s="3046"/>
      <c r="S275" s="3046"/>
      <c r="T275" s="3046"/>
      <c r="U275" s="3046"/>
      <c r="V275" s="3046"/>
      <c r="W275" s="3046"/>
      <c r="X275" s="3046"/>
      <c r="Y275" s="3046"/>
      <c r="Z275" s="3046"/>
      <c r="AA275" s="3046"/>
      <c r="AB275" s="3046"/>
      <c r="AC275" s="3046"/>
      <c r="AD275" s="3172"/>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71"/>
      <c r="G276" s="3046"/>
      <c r="H276" s="3046"/>
      <c r="I276" s="3046"/>
      <c r="J276" s="3046"/>
      <c r="K276" s="3046"/>
      <c r="L276" s="3046"/>
      <c r="M276" s="3046"/>
      <c r="N276" s="3046"/>
      <c r="O276" s="3046"/>
      <c r="P276" s="3046"/>
      <c r="Q276" s="3046"/>
      <c r="R276" s="3046"/>
      <c r="S276" s="3046"/>
      <c r="T276" s="3046"/>
      <c r="U276" s="3046"/>
      <c r="V276" s="3046"/>
      <c r="W276" s="3046"/>
      <c r="X276" s="3046"/>
      <c r="Y276" s="3046"/>
      <c r="Z276" s="3046"/>
      <c r="AA276" s="3046"/>
      <c r="AB276" s="3046"/>
      <c r="AC276" s="3046"/>
      <c r="AD276" s="3172"/>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71" t="s">
        <v>1653</v>
      </c>
      <c r="G277" s="3046"/>
      <c r="H277" s="3046"/>
      <c r="I277" s="3046"/>
      <c r="J277" s="3046"/>
      <c r="K277" s="3046"/>
      <c r="L277" s="3046"/>
      <c r="M277" s="3046"/>
      <c r="N277" s="3046"/>
      <c r="O277" s="3046"/>
      <c r="P277" s="3046"/>
      <c r="Q277" s="3046"/>
      <c r="R277" s="3046"/>
      <c r="S277" s="3046"/>
      <c r="T277" s="3046"/>
      <c r="U277" s="3046"/>
      <c r="V277" s="3046"/>
      <c r="W277" s="3046"/>
      <c r="X277" s="3046"/>
      <c r="Y277" s="3046"/>
      <c r="Z277" s="3046"/>
      <c r="AA277" s="3046"/>
      <c r="AB277" s="3046"/>
      <c r="AC277" s="3046"/>
      <c r="AD277" s="3172"/>
      <c r="AE277" s="1077"/>
      <c r="AF277" s="943"/>
      <c r="AH277" s="943"/>
      <c r="AI277" s="943"/>
      <c r="AJ277" s="942"/>
      <c r="AK277" s="1025"/>
      <c r="AL277" s="1025"/>
      <c r="AM277" s="1025"/>
      <c r="AN277" s="110"/>
      <c r="AO277" s="51"/>
      <c r="AP277" s="942">
        <f>IF($C$292="yes",9,0)</f>
        <v>9</v>
      </c>
      <c r="AQ277" s="21"/>
      <c r="AR277" s="21"/>
      <c r="AS277" s="1074"/>
      <c r="AT277" s="1074"/>
      <c r="AU277" s="1074"/>
      <c r="AV277" s="1076"/>
      <c r="AW277" s="1076"/>
      <c r="AX277" s="112"/>
      <c r="AY277" s="112"/>
      <c r="AZ277" s="112"/>
      <c r="BA277" s="112"/>
    </row>
    <row r="278" spans="1:53">
      <c r="A278" s="1073"/>
      <c r="B278" s="1064"/>
      <c r="F278" s="3171"/>
      <c r="G278" s="3046"/>
      <c r="H278" s="3046"/>
      <c r="I278" s="3046"/>
      <c r="J278" s="3046"/>
      <c r="K278" s="3046"/>
      <c r="L278" s="3046"/>
      <c r="M278" s="3046"/>
      <c r="N278" s="3046"/>
      <c r="O278" s="3046"/>
      <c r="P278" s="3046"/>
      <c r="Q278" s="3046"/>
      <c r="R278" s="3046"/>
      <c r="S278" s="3046"/>
      <c r="T278" s="3046"/>
      <c r="U278" s="3046"/>
      <c r="V278" s="3046"/>
      <c r="W278" s="3046"/>
      <c r="X278" s="3046"/>
      <c r="Y278" s="3046"/>
      <c r="Z278" s="3046"/>
      <c r="AA278" s="3046"/>
      <c r="AB278" s="3046"/>
      <c r="AC278" s="3046"/>
      <c r="AD278" s="3172"/>
      <c r="AE278" s="1077"/>
      <c r="AF278" s="943"/>
      <c r="AH278" s="943"/>
      <c r="AI278" s="943"/>
      <c r="AJ278" s="942"/>
      <c r="AK278" s="1025"/>
      <c r="AL278" s="1025"/>
      <c r="AM278" s="1025"/>
      <c r="AN278" s="110"/>
      <c r="AO278" s="51"/>
      <c r="AP278" s="942">
        <f>IF($C$315="yes",9,0)</f>
        <v>0</v>
      </c>
      <c r="AR278" s="21"/>
      <c r="AS278" s="1074"/>
      <c r="AT278" s="1074"/>
      <c r="AU278" s="1074"/>
      <c r="AV278" s="1076"/>
      <c r="AW278" s="1076"/>
      <c r="AX278" s="112"/>
      <c r="AY278" s="112"/>
      <c r="AZ278" s="112"/>
      <c r="BA278" s="112"/>
    </row>
    <row r="279" spans="1:53" ht="12.75" customHeight="1">
      <c r="A279" s="1059"/>
      <c r="B279" s="943"/>
      <c r="C279" s="942"/>
      <c r="D279" s="943"/>
      <c r="E279" s="942"/>
      <c r="F279" s="3171" t="s">
        <v>1654</v>
      </c>
      <c r="G279" s="3046"/>
      <c r="H279" s="3046"/>
      <c r="I279" s="3046"/>
      <c r="J279" s="3046"/>
      <c r="K279" s="3046"/>
      <c r="L279" s="3046"/>
      <c r="M279" s="3046"/>
      <c r="N279" s="3046"/>
      <c r="O279" s="3046"/>
      <c r="P279" s="3046"/>
      <c r="Q279" s="3046"/>
      <c r="R279" s="3046"/>
      <c r="S279" s="3046"/>
      <c r="T279" s="3046"/>
      <c r="U279" s="3046"/>
      <c r="V279" s="3046"/>
      <c r="W279" s="3046"/>
      <c r="X279" s="3046"/>
      <c r="Y279" s="3046"/>
      <c r="Z279" s="3046"/>
      <c r="AA279" s="3046"/>
      <c r="AB279" s="3046"/>
      <c r="AC279" s="3046"/>
      <c r="AD279" s="3172"/>
      <c r="AE279" s="1077"/>
      <c r="AF279" s="943"/>
      <c r="AG279" s="943"/>
      <c r="AH279" s="943"/>
      <c r="AI279" s="943"/>
      <c r="AJ279" s="942"/>
      <c r="AK279" s="1025"/>
      <c r="AL279" s="1025"/>
      <c r="AM279" s="1025"/>
      <c r="AN279" s="110"/>
      <c r="AO279" s="51"/>
      <c r="AP279" s="1078">
        <f>MAX(AP275,AP276,AP277,AP278)</f>
        <v>9</v>
      </c>
      <c r="AQ279" s="967" t="s">
        <v>1584</v>
      </c>
      <c r="AR279" s="21"/>
      <c r="AS279" s="1074"/>
      <c r="AT279" s="1074"/>
      <c r="AU279" s="1074"/>
      <c r="AV279" s="1076"/>
      <c r="AW279" s="1076"/>
      <c r="AX279" s="112"/>
      <c r="AY279" s="112"/>
      <c r="AZ279" s="112"/>
      <c r="BA279" s="112"/>
    </row>
    <row r="280" spans="1:53" ht="15" customHeight="1">
      <c r="A280" s="1059"/>
      <c r="B280" s="943"/>
      <c r="C280" s="943"/>
      <c r="D280" s="943"/>
      <c r="E280" s="943"/>
      <c r="F280" s="3171"/>
      <c r="G280" s="3046"/>
      <c r="H280" s="3046"/>
      <c r="I280" s="3046"/>
      <c r="J280" s="3046"/>
      <c r="K280" s="3046"/>
      <c r="L280" s="3046"/>
      <c r="M280" s="3046"/>
      <c r="N280" s="3046"/>
      <c r="O280" s="3046"/>
      <c r="P280" s="3046"/>
      <c r="Q280" s="3046"/>
      <c r="R280" s="3046"/>
      <c r="S280" s="3046"/>
      <c r="T280" s="3046"/>
      <c r="U280" s="3046"/>
      <c r="V280" s="3046"/>
      <c r="W280" s="3046"/>
      <c r="X280" s="3046"/>
      <c r="Y280" s="3046"/>
      <c r="Z280" s="3046"/>
      <c r="AA280" s="3046"/>
      <c r="AB280" s="3046"/>
      <c r="AC280" s="3046"/>
      <c r="AD280" s="3172"/>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71" t="s">
        <v>1655</v>
      </c>
      <c r="G281" s="3046"/>
      <c r="H281" s="3046"/>
      <c r="I281" s="3046"/>
      <c r="J281" s="3046"/>
      <c r="K281" s="3046"/>
      <c r="L281" s="3046"/>
      <c r="M281" s="3046"/>
      <c r="N281" s="3046"/>
      <c r="O281" s="3046"/>
      <c r="P281" s="3046"/>
      <c r="Q281" s="3046"/>
      <c r="R281" s="3046"/>
      <c r="S281" s="3046"/>
      <c r="T281" s="3046"/>
      <c r="U281" s="3046"/>
      <c r="V281" s="3046"/>
      <c r="W281" s="3046"/>
      <c r="X281" s="3046"/>
      <c r="Y281" s="3046"/>
      <c r="Z281" s="3046"/>
      <c r="AA281" s="3046"/>
      <c r="AB281" s="3046"/>
      <c r="AC281" s="3046"/>
      <c r="AD281" s="3172"/>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73"/>
      <c r="G282" s="3174"/>
      <c r="H282" s="3174"/>
      <c r="I282" s="3174"/>
      <c r="J282" s="3174"/>
      <c r="K282" s="3174"/>
      <c r="L282" s="3174"/>
      <c r="M282" s="3174"/>
      <c r="N282" s="3174"/>
      <c r="O282" s="3174"/>
      <c r="P282" s="3174"/>
      <c r="Q282" s="3174"/>
      <c r="R282" s="3174"/>
      <c r="S282" s="3174"/>
      <c r="T282" s="3174"/>
      <c r="U282" s="3174"/>
      <c r="V282" s="3174"/>
      <c r="W282" s="3174"/>
      <c r="X282" s="3174"/>
      <c r="Y282" s="3174"/>
      <c r="Z282" s="3174"/>
      <c r="AA282" s="3174"/>
      <c r="AB282" s="3174"/>
      <c r="AC282" s="3174"/>
      <c r="AD282" s="3175"/>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54" t="s">
        <v>1656</v>
      </c>
      <c r="B284" s="3154"/>
      <c r="C284" s="3042" t="s">
        <v>625</v>
      </c>
      <c r="D284" s="3042"/>
      <c r="E284" s="939"/>
      <c r="F284" s="1081" t="s">
        <v>1657</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1658</v>
      </c>
      <c r="AH284" s="943"/>
      <c r="AI284" s="943"/>
      <c r="AJ284" s="942"/>
      <c r="AK284" s="1025"/>
      <c r="AL284" s="1025"/>
      <c r="AM284" s="1025"/>
      <c r="AN284" s="1084"/>
      <c r="AO284" s="51"/>
      <c r="AR284" s="21"/>
    </row>
    <row r="285" spans="1:53">
      <c r="A285" s="1059"/>
      <c r="B285" s="943"/>
      <c r="C285" s="942"/>
      <c r="D285" s="943"/>
      <c r="E285" s="942"/>
      <c r="F285" s="3171" t="s">
        <v>1659</v>
      </c>
      <c r="G285" s="3046"/>
      <c r="H285" s="3046"/>
      <c r="I285" s="3046"/>
      <c r="J285" s="3046"/>
      <c r="K285" s="3046"/>
      <c r="L285" s="3046"/>
      <c r="M285" s="3046"/>
      <c r="N285" s="3046"/>
      <c r="O285" s="3046"/>
      <c r="P285" s="3046"/>
      <c r="Q285" s="3046"/>
      <c r="R285" s="3046"/>
      <c r="S285" s="3046"/>
      <c r="T285" s="3046"/>
      <c r="U285" s="3046"/>
      <c r="V285" s="3046"/>
      <c r="W285" s="3046"/>
      <c r="X285" s="3046"/>
      <c r="Y285" s="3046"/>
      <c r="Z285" s="3046"/>
      <c r="AA285" s="3046"/>
      <c r="AB285" s="3046"/>
      <c r="AC285" s="3046"/>
      <c r="AD285" s="3172"/>
      <c r="AE285" s="943"/>
      <c r="AF285" s="943"/>
      <c r="AG285" s="943"/>
      <c r="AH285" s="943"/>
      <c r="AI285" s="943"/>
      <c r="AJ285" s="942"/>
      <c r="AK285" s="1025"/>
      <c r="AL285" s="1025"/>
      <c r="AM285" s="1025"/>
      <c r="AR285" s="1085"/>
    </row>
    <row r="286" spans="1:53" ht="15" customHeight="1">
      <c r="A286" s="1059"/>
      <c r="B286" s="943"/>
      <c r="C286" s="942"/>
      <c r="D286" s="943"/>
      <c r="E286" s="942"/>
      <c r="F286" s="3171"/>
      <c r="G286" s="3046"/>
      <c r="H286" s="3046"/>
      <c r="I286" s="3046"/>
      <c r="J286" s="3046"/>
      <c r="K286" s="3046"/>
      <c r="L286" s="3046"/>
      <c r="M286" s="3046"/>
      <c r="N286" s="3046"/>
      <c r="O286" s="3046"/>
      <c r="P286" s="3046"/>
      <c r="Q286" s="3046"/>
      <c r="R286" s="3046"/>
      <c r="S286" s="3046"/>
      <c r="T286" s="3046"/>
      <c r="U286" s="3046"/>
      <c r="V286" s="3046"/>
      <c r="W286" s="3046"/>
      <c r="X286" s="3046"/>
      <c r="Y286" s="3046"/>
      <c r="Z286" s="3046"/>
      <c r="AA286" s="3046"/>
      <c r="AB286" s="3046"/>
      <c r="AC286" s="3046"/>
      <c r="AD286" s="3172"/>
      <c r="AE286" s="943"/>
      <c r="AF286" s="943"/>
      <c r="AG286" s="943"/>
      <c r="AH286" s="943"/>
      <c r="AI286" s="943"/>
      <c r="AJ286" s="942"/>
      <c r="AK286" s="1025"/>
      <c r="AL286" s="1025"/>
      <c r="AM286" s="1025"/>
      <c r="AR286" s="1085"/>
    </row>
    <row r="287" spans="1:53">
      <c r="A287" s="1059"/>
      <c r="B287" s="943"/>
      <c r="C287" s="942"/>
      <c r="D287" s="943"/>
      <c r="E287" s="942"/>
      <c r="F287" s="3171" t="s">
        <v>1654</v>
      </c>
      <c r="G287" s="3046"/>
      <c r="H287" s="3046"/>
      <c r="I287" s="3046"/>
      <c r="J287" s="3046"/>
      <c r="K287" s="3046"/>
      <c r="L287" s="3046"/>
      <c r="M287" s="3046"/>
      <c r="N287" s="3046"/>
      <c r="O287" s="3046"/>
      <c r="P287" s="3046"/>
      <c r="Q287" s="3046"/>
      <c r="R287" s="3046"/>
      <c r="S287" s="3046"/>
      <c r="T287" s="3046"/>
      <c r="U287" s="3046"/>
      <c r="V287" s="3046"/>
      <c r="W287" s="3046"/>
      <c r="X287" s="3046"/>
      <c r="Y287" s="3046"/>
      <c r="Z287" s="3046"/>
      <c r="AA287" s="3046"/>
      <c r="AB287" s="3046"/>
      <c r="AC287" s="3046"/>
      <c r="AD287" s="3172"/>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71"/>
      <c r="G288" s="3046"/>
      <c r="H288" s="3046"/>
      <c r="I288" s="3046"/>
      <c r="J288" s="3046"/>
      <c r="K288" s="3046"/>
      <c r="L288" s="3046"/>
      <c r="M288" s="3046"/>
      <c r="N288" s="3046"/>
      <c r="O288" s="3046"/>
      <c r="P288" s="3046"/>
      <c r="Q288" s="3046"/>
      <c r="R288" s="3046"/>
      <c r="S288" s="3046"/>
      <c r="T288" s="3046"/>
      <c r="U288" s="3046"/>
      <c r="V288" s="3046"/>
      <c r="W288" s="3046"/>
      <c r="X288" s="3046"/>
      <c r="Y288" s="3046"/>
      <c r="Z288" s="3046"/>
      <c r="AA288" s="3046"/>
      <c r="AB288" s="3046"/>
      <c r="AC288" s="3046"/>
      <c r="AD288" s="3172"/>
      <c r="AE288" s="943"/>
      <c r="AF288" s="943"/>
      <c r="AG288" s="943"/>
      <c r="AH288" s="943"/>
      <c r="AI288" s="943"/>
      <c r="AJ288" s="942"/>
      <c r="AK288" s="1025"/>
      <c r="AL288" s="1025"/>
      <c r="AM288" s="1025"/>
      <c r="AP288" s="1078"/>
      <c r="AQ288" s="967"/>
      <c r="AR288" s="1085"/>
    </row>
    <row r="289" spans="1:60">
      <c r="A289" s="1059"/>
      <c r="B289" s="943"/>
      <c r="C289" s="942"/>
      <c r="D289" s="943"/>
      <c r="E289" s="942"/>
      <c r="F289" s="3171" t="s">
        <v>1660</v>
      </c>
      <c r="G289" s="3046"/>
      <c r="H289" s="3046"/>
      <c r="I289" s="3046"/>
      <c r="J289" s="3046"/>
      <c r="K289" s="3046"/>
      <c r="L289" s="3046"/>
      <c r="M289" s="3046"/>
      <c r="N289" s="3046"/>
      <c r="O289" s="3046"/>
      <c r="P289" s="3046"/>
      <c r="Q289" s="3046"/>
      <c r="R289" s="3046"/>
      <c r="S289" s="3046"/>
      <c r="T289" s="3046"/>
      <c r="U289" s="3046"/>
      <c r="V289" s="3046"/>
      <c r="W289" s="3046"/>
      <c r="X289" s="3046"/>
      <c r="Y289" s="3046"/>
      <c r="Z289" s="3046"/>
      <c r="AA289" s="3046"/>
      <c r="AB289" s="3046"/>
      <c r="AC289" s="3046"/>
      <c r="AD289" s="3172"/>
      <c r="AE289" s="943"/>
      <c r="AF289" s="943"/>
      <c r="AG289" s="943"/>
      <c r="AH289" s="943"/>
      <c r="AI289" s="943"/>
      <c r="AJ289" s="942"/>
      <c r="AK289" s="1025"/>
      <c r="AL289" s="1025"/>
      <c r="AM289" s="1025"/>
      <c r="AP289" s="1078"/>
      <c r="AQ289" s="967"/>
      <c r="AR289" s="1085"/>
    </row>
    <row r="290" spans="1:60">
      <c r="A290" s="1059"/>
      <c r="B290" s="943"/>
      <c r="C290" s="942"/>
      <c r="D290" s="943"/>
      <c r="E290" s="942"/>
      <c r="F290" s="3173"/>
      <c r="G290" s="3174"/>
      <c r="H290" s="3174"/>
      <c r="I290" s="3174"/>
      <c r="J290" s="3174"/>
      <c r="K290" s="3174"/>
      <c r="L290" s="3174"/>
      <c r="M290" s="3174"/>
      <c r="N290" s="3174"/>
      <c r="O290" s="3174"/>
      <c r="P290" s="3174"/>
      <c r="Q290" s="3174"/>
      <c r="R290" s="3174"/>
      <c r="S290" s="3174"/>
      <c r="T290" s="3174"/>
      <c r="U290" s="3174"/>
      <c r="V290" s="3174"/>
      <c r="W290" s="3174"/>
      <c r="X290" s="3174"/>
      <c r="Y290" s="3174"/>
      <c r="Z290" s="3174"/>
      <c r="AA290" s="3174"/>
      <c r="AB290" s="3174"/>
      <c r="AC290" s="3174"/>
      <c r="AD290" s="3175"/>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54" t="s">
        <v>1661</v>
      </c>
      <c r="B292" s="3154"/>
      <c r="C292" s="3042" t="s">
        <v>577</v>
      </c>
      <c r="D292" s="3042"/>
      <c r="E292" s="939"/>
      <c r="F292" s="1081" t="s">
        <v>1657</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1658</v>
      </c>
      <c r="AH292" s="943"/>
      <c r="AI292" s="943"/>
      <c r="AJ292" s="942"/>
      <c r="AK292" s="1025"/>
      <c r="AL292" s="1025"/>
      <c r="AM292" s="1025"/>
      <c r="AN292" s="110"/>
      <c r="AO292" s="51"/>
      <c r="AR292" s="21"/>
    </row>
    <row r="293" spans="1:60">
      <c r="A293" s="1795"/>
      <c r="B293" s="1795"/>
      <c r="C293" s="1791"/>
      <c r="D293" s="1791"/>
      <c r="E293" s="939"/>
      <c r="F293" s="3171" t="s">
        <v>1662</v>
      </c>
      <c r="G293" s="3046"/>
      <c r="H293" s="3046"/>
      <c r="I293" s="3046"/>
      <c r="J293" s="3046"/>
      <c r="K293" s="3046"/>
      <c r="L293" s="3046"/>
      <c r="M293" s="3046"/>
      <c r="N293" s="3046"/>
      <c r="O293" s="3046"/>
      <c r="P293" s="3046"/>
      <c r="Q293" s="3046"/>
      <c r="R293" s="3046"/>
      <c r="S293" s="3046"/>
      <c r="T293" s="3046"/>
      <c r="U293" s="3046"/>
      <c r="V293" s="3046"/>
      <c r="W293" s="3046"/>
      <c r="X293" s="3046"/>
      <c r="Y293" s="3046"/>
      <c r="Z293" s="3046"/>
      <c r="AA293" s="3046"/>
      <c r="AB293" s="3046"/>
      <c r="AC293" s="3046"/>
      <c r="AD293" s="3172"/>
      <c r="AE293" s="943"/>
      <c r="AF293" s="943"/>
      <c r="AG293" s="1011"/>
      <c r="AH293" s="943"/>
      <c r="AI293" s="943"/>
      <c r="AJ293" s="942"/>
      <c r="AK293" s="1025"/>
      <c r="AL293" s="1025"/>
      <c r="AM293" s="1025"/>
      <c r="AN293" s="110"/>
      <c r="AO293" s="51"/>
      <c r="AP293" s="949" t="s">
        <v>1382</v>
      </c>
      <c r="AR293" s="21"/>
    </row>
    <row r="294" spans="1:60" s="21" customFormat="1">
      <c r="F294" s="3171"/>
      <c r="G294" s="3046"/>
      <c r="H294" s="3046"/>
      <c r="I294" s="3046"/>
      <c r="J294" s="3046"/>
      <c r="K294" s="3046"/>
      <c r="L294" s="3046"/>
      <c r="M294" s="3046"/>
      <c r="N294" s="3046"/>
      <c r="O294" s="3046"/>
      <c r="P294" s="3046"/>
      <c r="Q294" s="3046"/>
      <c r="R294" s="3046"/>
      <c r="S294" s="3046"/>
      <c r="T294" s="3046"/>
      <c r="U294" s="3046"/>
      <c r="V294" s="3046"/>
      <c r="W294" s="3046"/>
      <c r="X294" s="3046"/>
      <c r="Y294" s="3046"/>
      <c r="Z294" s="3046"/>
      <c r="AA294" s="3046"/>
      <c r="AB294" s="3046"/>
      <c r="AC294" s="3046"/>
      <c r="AD294" s="3172"/>
      <c r="AE294" s="943"/>
      <c r="AF294" s="943"/>
      <c r="AH294" s="943"/>
      <c r="AI294" s="943"/>
      <c r="AJ294" s="1088"/>
      <c r="AK294" s="1059"/>
      <c r="AL294" s="1059"/>
      <c r="AM294" s="1059"/>
      <c r="AN294" s="1089"/>
      <c r="AP294" s="1090" t="s">
        <v>2226</v>
      </c>
      <c r="BD294" s="1091"/>
      <c r="BE294" s="1091"/>
      <c r="BF294" s="1091"/>
      <c r="BG294" s="1091"/>
      <c r="BH294" s="1091"/>
    </row>
    <row r="295" spans="1:60">
      <c r="A295" s="1059"/>
      <c r="B295" s="943"/>
      <c r="C295" s="1791"/>
      <c r="D295" s="1791"/>
      <c r="E295" s="939"/>
      <c r="F295" s="1093" t="s">
        <v>1663</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2228</v>
      </c>
      <c r="AR295" s="21"/>
    </row>
    <row r="296" spans="1:60">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2381</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61" t="s">
        <v>2381</v>
      </c>
      <c r="G298" s="3162"/>
      <c r="H298" s="3162"/>
      <c r="I298" s="3162"/>
      <c r="J298" s="3162"/>
      <c r="K298" s="3162"/>
      <c r="L298" s="3162"/>
      <c r="M298" s="3162"/>
      <c r="N298" s="3162"/>
      <c r="O298" s="3162"/>
      <c r="P298" s="3162"/>
      <c r="Q298" s="3162"/>
      <c r="R298" s="3162"/>
      <c r="S298" s="3162"/>
      <c r="T298" s="3162"/>
      <c r="U298" s="3162"/>
      <c r="V298" s="3162"/>
      <c r="W298" s="3162"/>
      <c r="X298" s="3162"/>
      <c r="Y298" s="3162"/>
      <c r="Z298" s="3162"/>
      <c r="AA298" s="3162"/>
      <c r="AB298" s="3162"/>
      <c r="AC298" s="3162"/>
      <c r="AD298" s="3163"/>
      <c r="AE298" s="1077"/>
      <c r="AF298" s="1077"/>
      <c r="AG298" s="1077"/>
      <c r="AH298" s="1077"/>
      <c r="AI298" s="1077"/>
      <c r="AJ298" s="1077"/>
      <c r="AK298" s="1077"/>
      <c r="AL298" s="1025"/>
      <c r="AM298" s="1025"/>
      <c r="AN298" s="110"/>
      <c r="AO298" s="51"/>
      <c r="AP298" s="126"/>
      <c r="AR298" s="21"/>
    </row>
    <row r="299" spans="1:60">
      <c r="A299" s="1059"/>
      <c r="B299" s="943"/>
      <c r="C299" s="1791"/>
      <c r="D299" s="1791"/>
      <c r="E299" s="939"/>
      <c r="F299" s="3161"/>
      <c r="G299" s="3162"/>
      <c r="H299" s="3162"/>
      <c r="I299" s="3162"/>
      <c r="J299" s="3162"/>
      <c r="K299" s="3162"/>
      <c r="L299" s="3162"/>
      <c r="M299" s="3162"/>
      <c r="N299" s="3162"/>
      <c r="O299" s="3162"/>
      <c r="P299" s="3162"/>
      <c r="Q299" s="3162"/>
      <c r="R299" s="3162"/>
      <c r="S299" s="3162"/>
      <c r="T299" s="3162"/>
      <c r="U299" s="3162"/>
      <c r="V299" s="3162"/>
      <c r="W299" s="3162"/>
      <c r="X299" s="3162"/>
      <c r="Y299" s="3162"/>
      <c r="Z299" s="3162"/>
      <c r="AA299" s="3162"/>
      <c r="AB299" s="3162"/>
      <c r="AC299" s="3162"/>
      <c r="AD299" s="3163"/>
      <c r="AE299" s="943"/>
      <c r="AF299" s="943"/>
      <c r="AG299" s="985"/>
      <c r="AH299" s="943"/>
      <c r="AI299" s="943"/>
      <c r="AJ299" s="1025"/>
      <c r="AK299" s="1025"/>
      <c r="AL299" s="1025"/>
      <c r="AM299" s="1025"/>
      <c r="AN299" s="110"/>
      <c r="AO299" s="51"/>
      <c r="AP299" s="126"/>
      <c r="AR299" s="21"/>
    </row>
    <row r="300" spans="1:60">
      <c r="A300" s="1059"/>
      <c r="B300" s="943"/>
      <c r="C300" s="1791"/>
      <c r="D300" s="1791"/>
      <c r="E300" s="939"/>
      <c r="F300" s="3161"/>
      <c r="G300" s="3162"/>
      <c r="H300" s="3162"/>
      <c r="I300" s="3162"/>
      <c r="J300" s="3162"/>
      <c r="K300" s="3162"/>
      <c r="L300" s="3162"/>
      <c r="M300" s="3162"/>
      <c r="N300" s="3162"/>
      <c r="O300" s="3162"/>
      <c r="P300" s="3162"/>
      <c r="Q300" s="3162"/>
      <c r="R300" s="3162"/>
      <c r="S300" s="3162"/>
      <c r="T300" s="3162"/>
      <c r="U300" s="3162"/>
      <c r="V300" s="3162"/>
      <c r="W300" s="3162"/>
      <c r="X300" s="3162"/>
      <c r="Y300" s="3162"/>
      <c r="Z300" s="3162"/>
      <c r="AA300" s="3162"/>
      <c r="AB300" s="3162"/>
      <c r="AC300" s="3162"/>
      <c r="AD300" s="3163"/>
      <c r="AE300" s="943"/>
      <c r="AF300" s="943"/>
      <c r="AG300" s="985"/>
      <c r="AH300" s="943"/>
      <c r="AI300" s="943"/>
      <c r="AJ300" s="1025"/>
      <c r="AK300" s="1025"/>
      <c r="AL300" s="1025"/>
      <c r="AM300" s="1025"/>
      <c r="AN300" s="110"/>
      <c r="AO300" s="51"/>
      <c r="AP300" s="126"/>
      <c r="AR300" s="21"/>
    </row>
    <row r="301" spans="1:60">
      <c r="A301" s="1059"/>
      <c r="B301" s="943"/>
      <c r="C301" s="1791"/>
      <c r="D301" s="1791"/>
      <c r="E301" s="939"/>
      <c r="F301" s="3161"/>
      <c r="G301" s="3162"/>
      <c r="H301" s="3162"/>
      <c r="I301" s="3162"/>
      <c r="J301" s="3162"/>
      <c r="K301" s="3162"/>
      <c r="L301" s="3162"/>
      <c r="M301" s="3162"/>
      <c r="N301" s="3162"/>
      <c r="O301" s="3162"/>
      <c r="P301" s="3162"/>
      <c r="Q301" s="3162"/>
      <c r="R301" s="3162"/>
      <c r="S301" s="3162"/>
      <c r="T301" s="3162"/>
      <c r="U301" s="3162"/>
      <c r="V301" s="3162"/>
      <c r="W301" s="3162"/>
      <c r="X301" s="3162"/>
      <c r="Y301" s="3162"/>
      <c r="Z301" s="3162"/>
      <c r="AA301" s="3162"/>
      <c r="AB301" s="3162"/>
      <c r="AC301" s="3162"/>
      <c r="AD301" s="3163"/>
      <c r="AE301" s="943"/>
      <c r="AF301" s="943"/>
      <c r="AG301" s="985"/>
      <c r="AH301" s="943"/>
      <c r="AI301" s="943"/>
      <c r="AJ301" s="1025"/>
      <c r="AK301" s="1025"/>
      <c r="AL301" s="1025"/>
      <c r="AM301" s="1025"/>
      <c r="AN301" s="110"/>
      <c r="AO301" s="51"/>
      <c r="AP301" s="126"/>
      <c r="AR301" s="21"/>
    </row>
    <row r="302" spans="1:60">
      <c r="A302" s="1059"/>
      <c r="B302" s="943"/>
      <c r="C302" s="1791"/>
      <c r="D302" s="1791"/>
      <c r="E302" s="939"/>
      <c r="F302" s="3164"/>
      <c r="G302" s="3165"/>
      <c r="H302" s="3165"/>
      <c r="I302" s="3165"/>
      <c r="J302" s="3165"/>
      <c r="K302" s="3165"/>
      <c r="L302" s="3165"/>
      <c r="M302" s="3165"/>
      <c r="N302" s="3165"/>
      <c r="O302" s="3165"/>
      <c r="P302" s="3165"/>
      <c r="Q302" s="3165"/>
      <c r="R302" s="3165"/>
      <c r="S302" s="3165"/>
      <c r="T302" s="3165"/>
      <c r="U302" s="3165"/>
      <c r="V302" s="3165"/>
      <c r="W302" s="3165"/>
      <c r="X302" s="3165"/>
      <c r="Y302" s="3165"/>
      <c r="Z302" s="3165"/>
      <c r="AA302" s="3165"/>
      <c r="AB302" s="3165"/>
      <c r="AC302" s="3165"/>
      <c r="AD302" s="3166"/>
      <c r="AE302" s="943"/>
      <c r="AF302" s="943"/>
      <c r="AG302" s="985"/>
      <c r="AH302" s="943"/>
      <c r="AI302" s="943"/>
      <c r="AJ302" s="1024"/>
      <c r="AK302" s="1025"/>
      <c r="AL302" s="1025"/>
      <c r="AM302" s="1025"/>
      <c r="AN302" s="110"/>
      <c r="AO302" s="51"/>
      <c r="AP302" s="126"/>
      <c r="AR302" s="21"/>
    </row>
    <row r="303" spans="1:60" s="56" customFormat="1">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c r="A304" s="1059"/>
      <c r="B304" s="943"/>
      <c r="C304" s="1791"/>
      <c r="D304" s="1791"/>
      <c r="E304" s="939"/>
      <c r="F304" s="1095" t="s">
        <v>2227</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1382</v>
      </c>
      <c r="AR305" s="21"/>
    </row>
    <row r="306" spans="1:60" ht="12.75" customHeight="1">
      <c r="A306" s="1059"/>
      <c r="B306" s="943"/>
      <c r="C306" s="1791"/>
      <c r="D306" s="1791"/>
      <c r="E306" s="939"/>
      <c r="F306" s="1097"/>
      <c r="G306" s="968" t="s">
        <v>724</v>
      </c>
      <c r="H306" s="968"/>
      <c r="I306" s="3167" t="s">
        <v>2611</v>
      </c>
      <c r="J306" s="3167"/>
      <c r="K306" s="3167"/>
      <c r="L306" s="3167"/>
      <c r="M306" s="3167"/>
      <c r="N306" s="3167"/>
      <c r="O306" s="3167"/>
      <c r="P306" s="3167"/>
      <c r="Q306" s="3167"/>
      <c r="R306" s="3167"/>
      <c r="S306" s="3167"/>
      <c r="T306" s="3167"/>
      <c r="U306" s="3167"/>
      <c r="V306" s="3167"/>
      <c r="W306" s="3167"/>
      <c r="X306" s="3167"/>
      <c r="Y306" s="3167"/>
      <c r="Z306" s="3167"/>
      <c r="AA306" s="3167"/>
      <c r="AB306" s="3167"/>
      <c r="AC306" s="3167"/>
      <c r="AD306" s="3168"/>
      <c r="AE306" s="943"/>
      <c r="AF306" s="943"/>
      <c r="AG306" s="985"/>
      <c r="AH306" s="943"/>
      <c r="AI306" s="943"/>
      <c r="AJ306" s="942"/>
      <c r="AK306" s="1025"/>
      <c r="AL306" s="1025"/>
      <c r="AM306" s="1025"/>
      <c r="AN306" s="110"/>
      <c r="AO306" s="51"/>
      <c r="AP306" s="949" t="s">
        <v>1986</v>
      </c>
      <c r="AR306" s="21"/>
    </row>
    <row r="307" spans="1:60">
      <c r="A307" s="1059"/>
      <c r="B307" s="943"/>
      <c r="C307" s="1791"/>
      <c r="D307" s="1791"/>
      <c r="E307" s="939"/>
      <c r="F307" s="1097"/>
      <c r="G307" s="968"/>
      <c r="H307" s="968"/>
      <c r="I307" s="3167"/>
      <c r="J307" s="3167"/>
      <c r="K307" s="3167"/>
      <c r="L307" s="3167"/>
      <c r="M307" s="3167"/>
      <c r="N307" s="3167"/>
      <c r="O307" s="3167"/>
      <c r="P307" s="3167"/>
      <c r="Q307" s="3167"/>
      <c r="R307" s="3167"/>
      <c r="S307" s="3167"/>
      <c r="T307" s="3167"/>
      <c r="U307" s="3167"/>
      <c r="V307" s="3167"/>
      <c r="W307" s="3167"/>
      <c r="X307" s="3167"/>
      <c r="Y307" s="3167"/>
      <c r="Z307" s="3167"/>
      <c r="AA307" s="3167"/>
      <c r="AB307" s="3167"/>
      <c r="AC307" s="3167"/>
      <c r="AD307" s="3168"/>
      <c r="AE307" s="943"/>
      <c r="AF307" s="943"/>
      <c r="AG307" s="985"/>
      <c r="AH307" s="943"/>
      <c r="AI307" s="943"/>
      <c r="AJ307" s="942"/>
      <c r="AK307" s="1025"/>
      <c r="AL307" s="1025"/>
      <c r="AM307" s="1025"/>
      <c r="AN307" s="110"/>
      <c r="AO307" s="51"/>
      <c r="AP307" s="949" t="s">
        <v>2229</v>
      </c>
      <c r="AR307" s="21"/>
    </row>
    <row r="308" spans="1:60">
      <c r="A308" s="1059"/>
      <c r="B308" s="943"/>
      <c r="C308" s="1092"/>
      <c r="D308" s="1092"/>
      <c r="E308" s="939"/>
      <c r="F308" s="1097"/>
      <c r="G308" s="968"/>
      <c r="H308" s="968"/>
      <c r="I308" s="3167"/>
      <c r="J308" s="3167"/>
      <c r="K308" s="3167"/>
      <c r="L308" s="3167"/>
      <c r="M308" s="3167"/>
      <c r="N308" s="3167"/>
      <c r="O308" s="3167"/>
      <c r="P308" s="3167"/>
      <c r="Q308" s="3167"/>
      <c r="R308" s="3167"/>
      <c r="S308" s="3167"/>
      <c r="T308" s="3167"/>
      <c r="U308" s="3167"/>
      <c r="V308" s="3167"/>
      <c r="W308" s="3167"/>
      <c r="X308" s="3167"/>
      <c r="Y308" s="3167"/>
      <c r="Z308" s="3167"/>
      <c r="AA308" s="3167"/>
      <c r="AB308" s="3167"/>
      <c r="AC308" s="3167"/>
      <c r="AD308" s="3168"/>
      <c r="AE308" s="943"/>
      <c r="AF308" s="943"/>
      <c r="AG308" s="985"/>
      <c r="AH308" s="943"/>
      <c r="AI308" s="943"/>
      <c r="AJ308" s="942"/>
      <c r="AK308" s="1025"/>
      <c r="AL308" s="1025"/>
      <c r="AM308" s="1025"/>
      <c r="AN308" s="110"/>
      <c r="AO308" s="51"/>
      <c r="AP308" s="949" t="s">
        <v>2231</v>
      </c>
      <c r="AR308" s="21"/>
    </row>
    <row r="309" spans="1:60">
      <c r="A309" s="1059"/>
      <c r="B309" s="943"/>
      <c r="C309" s="1092"/>
      <c r="D309" s="1092"/>
      <c r="E309" s="939"/>
      <c r="F309" s="1095"/>
      <c r="G309" s="943"/>
      <c r="H309" s="943"/>
      <c r="I309" s="3169"/>
      <c r="J309" s="3169"/>
      <c r="K309" s="3169"/>
      <c r="L309" s="3169"/>
      <c r="M309" s="3169"/>
      <c r="N309" s="3169"/>
      <c r="O309" s="3169"/>
      <c r="P309" s="3169"/>
      <c r="Q309" s="3169"/>
      <c r="R309" s="3169"/>
      <c r="S309" s="3169"/>
      <c r="T309" s="3169"/>
      <c r="U309" s="3169"/>
      <c r="V309" s="3169"/>
      <c r="W309" s="3169"/>
      <c r="X309" s="3169"/>
      <c r="Y309" s="3169"/>
      <c r="Z309" s="3169"/>
      <c r="AA309" s="3169"/>
      <c r="AB309" s="3169"/>
      <c r="AC309" s="3169"/>
      <c r="AD309" s="3170"/>
      <c r="AE309" s="943"/>
      <c r="AF309" s="943"/>
      <c r="AG309" s="985"/>
      <c r="AH309" s="943"/>
      <c r="AI309" s="943"/>
      <c r="AJ309" s="942"/>
      <c r="AK309" s="1025"/>
      <c r="AL309" s="1025"/>
      <c r="AM309" s="1025"/>
      <c r="AN309" s="110"/>
      <c r="AO309" s="51"/>
      <c r="AP309" s="949" t="s">
        <v>2230</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541</v>
      </c>
      <c r="H311" s="943"/>
      <c r="I311" s="3167" t="s">
        <v>1987</v>
      </c>
      <c r="J311" s="3167"/>
      <c r="K311" s="3167"/>
      <c r="L311" s="3167"/>
      <c r="M311" s="3167"/>
      <c r="N311" s="3167"/>
      <c r="O311" s="3167"/>
      <c r="P311" s="3167"/>
      <c r="Q311" s="3167"/>
      <c r="R311" s="3167"/>
      <c r="S311" s="3167"/>
      <c r="T311" s="3167"/>
      <c r="U311" s="3167"/>
      <c r="V311" s="3167"/>
      <c r="W311" s="3167"/>
      <c r="X311" s="3167"/>
      <c r="Y311" s="3167"/>
      <c r="Z311" s="3167"/>
      <c r="AA311" s="3167"/>
      <c r="AB311" s="3167"/>
      <c r="AC311" s="3167"/>
      <c r="AD311" s="3168"/>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67"/>
      <c r="J312" s="3167"/>
      <c r="K312" s="3167"/>
      <c r="L312" s="3167"/>
      <c r="M312" s="3167"/>
      <c r="N312" s="3167"/>
      <c r="O312" s="3167"/>
      <c r="P312" s="3167"/>
      <c r="Q312" s="3167"/>
      <c r="R312" s="3167"/>
      <c r="S312" s="3167"/>
      <c r="T312" s="3167"/>
      <c r="U312" s="3167"/>
      <c r="V312" s="3167"/>
      <c r="W312" s="3167"/>
      <c r="X312" s="3167"/>
      <c r="Y312" s="3167"/>
      <c r="Z312" s="3167"/>
      <c r="AA312" s="3167"/>
      <c r="AB312" s="3167"/>
      <c r="AC312" s="3167"/>
      <c r="AD312" s="3168"/>
      <c r="AE312" s="943"/>
      <c r="AF312" s="943"/>
      <c r="AG312" s="985"/>
      <c r="AH312" s="943"/>
      <c r="AI312" s="943"/>
      <c r="AJ312" s="942"/>
      <c r="AK312" s="1025"/>
      <c r="AL312" s="1025"/>
      <c r="AM312" s="1025"/>
      <c r="AN312" s="110"/>
      <c r="AO312" s="51"/>
      <c r="AP312" s="949" t="s">
        <v>1382</v>
      </c>
      <c r="AR312" s="21"/>
    </row>
    <row r="313" spans="1:60">
      <c r="A313" s="1059"/>
      <c r="B313" s="943"/>
      <c r="C313" s="1092"/>
      <c r="D313" s="1092"/>
      <c r="E313" s="939"/>
      <c r="F313" s="1098"/>
      <c r="G313" s="1099"/>
      <c r="H313" s="1099"/>
      <c r="I313" s="3169"/>
      <c r="J313" s="3169"/>
      <c r="K313" s="3169"/>
      <c r="L313" s="3169"/>
      <c r="M313" s="3169"/>
      <c r="N313" s="3169"/>
      <c r="O313" s="3169"/>
      <c r="P313" s="3169"/>
      <c r="Q313" s="3169"/>
      <c r="R313" s="3169"/>
      <c r="S313" s="3169"/>
      <c r="T313" s="3169"/>
      <c r="U313" s="3169"/>
      <c r="V313" s="3169"/>
      <c r="W313" s="3169"/>
      <c r="X313" s="3169"/>
      <c r="Y313" s="3169"/>
      <c r="Z313" s="3169"/>
      <c r="AA313" s="3169"/>
      <c r="AB313" s="3169"/>
      <c r="AC313" s="3169"/>
      <c r="AD313" s="3170"/>
      <c r="AE313" s="943"/>
      <c r="AF313" s="943"/>
      <c r="AG313" s="985"/>
      <c r="AH313" s="943"/>
      <c r="AI313" s="943"/>
      <c r="AJ313" s="942"/>
      <c r="AK313" s="1025"/>
      <c r="AL313" s="1025"/>
      <c r="AM313" s="1025"/>
      <c r="AN313" s="110"/>
      <c r="AO313" s="51"/>
      <c r="AP313" s="949" t="s">
        <v>1664</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1987</v>
      </c>
    </row>
    <row r="315" spans="1:60" ht="12.75" customHeight="1">
      <c r="A315" s="3154" t="s">
        <v>1665</v>
      </c>
      <c r="B315" s="3154"/>
      <c r="C315" s="3042" t="s">
        <v>625</v>
      </c>
      <c r="D315" s="3042"/>
      <c r="E315" s="939"/>
      <c r="F315" s="3155" t="s">
        <v>1666</v>
      </c>
      <c r="G315" s="3156"/>
      <c r="H315" s="3156"/>
      <c r="I315" s="3156"/>
      <c r="J315" s="3156"/>
      <c r="K315" s="3156"/>
      <c r="L315" s="3156"/>
      <c r="M315" s="3156"/>
      <c r="N315" s="3156"/>
      <c r="O315" s="3156"/>
      <c r="P315" s="3156"/>
      <c r="Q315" s="3156"/>
      <c r="R315" s="3156"/>
      <c r="S315" s="3156"/>
      <c r="T315" s="3156"/>
      <c r="U315" s="3156"/>
      <c r="V315" s="3156"/>
      <c r="W315" s="3156"/>
      <c r="X315" s="3156"/>
      <c r="Y315" s="3156"/>
      <c r="Z315" s="3156"/>
      <c r="AA315" s="3156"/>
      <c r="AB315" s="3156"/>
      <c r="AC315" s="3156"/>
      <c r="AD315" s="3157"/>
      <c r="AE315" s="943"/>
      <c r="AF315" s="943"/>
      <c r="AG315" s="985" t="s">
        <v>1658</v>
      </c>
      <c r="AH315" s="943"/>
      <c r="AI315" s="943"/>
      <c r="AJ315" s="942"/>
      <c r="AK315" s="1025"/>
      <c r="AL315" s="1025"/>
      <c r="AM315" s="1025"/>
      <c r="AN315" s="110"/>
      <c r="AO315" s="51"/>
    </row>
    <row r="316" spans="1:60" ht="15" customHeight="1">
      <c r="A316" s="1059"/>
      <c r="B316" s="943"/>
      <c r="C316" s="943"/>
      <c r="D316" s="943"/>
      <c r="E316" s="943"/>
      <c r="F316" s="3158"/>
      <c r="G316" s="3159"/>
      <c r="H316" s="3159"/>
      <c r="I316" s="3159"/>
      <c r="J316" s="3159"/>
      <c r="K316" s="3159"/>
      <c r="L316" s="3159"/>
      <c r="M316" s="3159"/>
      <c r="N316" s="3159"/>
      <c r="O316" s="3159"/>
      <c r="P316" s="3159"/>
      <c r="Q316" s="3159"/>
      <c r="R316" s="3159"/>
      <c r="S316" s="3159"/>
      <c r="T316" s="3159"/>
      <c r="U316" s="3159"/>
      <c r="V316" s="3159"/>
      <c r="W316" s="3159"/>
      <c r="X316" s="3159"/>
      <c r="Y316" s="3159"/>
      <c r="Z316" s="3159"/>
      <c r="AA316" s="3159"/>
      <c r="AB316" s="3159"/>
      <c r="AC316" s="3159"/>
      <c r="AD316" s="3160"/>
      <c r="AE316" s="943"/>
      <c r="AF316" s="943"/>
      <c r="AG316" s="943"/>
      <c r="AH316" s="943"/>
      <c r="AI316" s="943"/>
      <c r="AJ316" s="942"/>
      <c r="AK316" s="1025"/>
      <c r="AL316" s="1025"/>
      <c r="AM316" s="1025"/>
      <c r="AN316" s="110"/>
      <c r="AO316" s="51"/>
    </row>
    <row r="317" spans="1:60" ht="15" customHeight="1">
      <c r="A317" s="1059"/>
      <c r="B317" s="943"/>
      <c r="C317" s="943"/>
      <c r="D317" s="943"/>
      <c r="E317" s="943"/>
      <c r="F317" s="3158"/>
      <c r="G317" s="3159"/>
      <c r="H317" s="3159"/>
      <c r="I317" s="3159"/>
      <c r="J317" s="3159"/>
      <c r="K317" s="3159"/>
      <c r="L317" s="3159"/>
      <c r="M317" s="3159"/>
      <c r="N317" s="3159"/>
      <c r="O317" s="3159"/>
      <c r="P317" s="3159"/>
      <c r="Q317" s="3159"/>
      <c r="R317" s="3159"/>
      <c r="S317" s="3159"/>
      <c r="T317" s="3159"/>
      <c r="U317" s="3159"/>
      <c r="V317" s="3159"/>
      <c r="W317" s="3159"/>
      <c r="X317" s="3159"/>
      <c r="Y317" s="3159"/>
      <c r="Z317" s="3159"/>
      <c r="AA317" s="3159"/>
      <c r="AB317" s="3159"/>
      <c r="AC317" s="3159"/>
      <c r="AD317" s="3160"/>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1667</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1668</v>
      </c>
      <c r="AK320" s="3028">
        <f>AP279</f>
        <v>9</v>
      </c>
      <c r="AL320" s="3029"/>
      <c r="AM320" s="3030"/>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1669</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10" t="s">
        <v>1582</v>
      </c>
      <c r="AF323" s="3110"/>
      <c r="AG323" s="3110"/>
      <c r="AH323" s="3110"/>
      <c r="AI323" s="3110"/>
      <c r="AJ323" s="3110"/>
      <c r="AK323" s="3110"/>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046" t="s">
        <v>2189</v>
      </c>
      <c r="C325" s="3046"/>
      <c r="D325" s="3046"/>
      <c r="E325" s="3046"/>
      <c r="F325" s="3046"/>
      <c r="G325" s="3046"/>
      <c r="H325" s="3046"/>
      <c r="I325" s="3046"/>
      <c r="J325" s="3046"/>
      <c r="K325" s="3046"/>
      <c r="L325" s="3046"/>
      <c r="M325" s="3046"/>
      <c r="N325" s="3046"/>
      <c r="O325" s="3046"/>
      <c r="P325" s="3046"/>
      <c r="Q325" s="3046"/>
      <c r="R325" s="3046"/>
      <c r="S325" s="3046"/>
      <c r="T325" s="3046"/>
      <c r="U325" s="3046"/>
      <c r="V325" s="3046"/>
      <c r="W325" s="3046"/>
      <c r="X325" s="3046"/>
      <c r="Y325" s="3046"/>
      <c r="Z325" s="3046"/>
      <c r="AA325" s="3046"/>
      <c r="AB325" s="3046"/>
      <c r="AC325" s="3046"/>
      <c r="AD325" s="3046"/>
      <c r="AE325" s="3046"/>
      <c r="AF325" s="3046"/>
      <c r="AG325" s="3046"/>
      <c r="AH325" s="3046"/>
      <c r="AI325" s="3046"/>
      <c r="AJ325" s="3046"/>
      <c r="AK325" s="1077"/>
      <c r="AL325" s="966"/>
      <c r="AM325" s="1026"/>
      <c r="AN325" s="999"/>
    </row>
    <row r="326" spans="1:42" s="942" customFormat="1" ht="12.75" customHeight="1">
      <c r="A326" s="1026"/>
      <c r="B326" s="3046"/>
      <c r="C326" s="3046"/>
      <c r="D326" s="3046"/>
      <c r="E326" s="3046"/>
      <c r="F326" s="3046"/>
      <c r="G326" s="3046"/>
      <c r="H326" s="3046"/>
      <c r="I326" s="3046"/>
      <c r="J326" s="3046"/>
      <c r="K326" s="3046"/>
      <c r="L326" s="3046"/>
      <c r="M326" s="3046"/>
      <c r="N326" s="3046"/>
      <c r="O326" s="3046"/>
      <c r="P326" s="3046"/>
      <c r="Q326" s="3046"/>
      <c r="R326" s="3046"/>
      <c r="S326" s="3046"/>
      <c r="T326" s="3046"/>
      <c r="U326" s="3046"/>
      <c r="V326" s="3046"/>
      <c r="W326" s="3046"/>
      <c r="X326" s="3046"/>
      <c r="Y326" s="3046"/>
      <c r="Z326" s="3046"/>
      <c r="AA326" s="3046"/>
      <c r="AB326" s="3046"/>
      <c r="AC326" s="3046"/>
      <c r="AD326" s="3046"/>
      <c r="AE326" s="3046"/>
      <c r="AF326" s="3046"/>
      <c r="AG326" s="3046"/>
      <c r="AH326" s="3046"/>
      <c r="AI326" s="3046"/>
      <c r="AJ326" s="3046"/>
      <c r="AK326" s="1077"/>
      <c r="AL326" s="966"/>
      <c r="AM326" s="1026"/>
      <c r="AN326" s="999"/>
    </row>
    <row r="327" spans="1:42" s="942" customFormat="1" ht="12.75" customHeight="1">
      <c r="A327" s="1026"/>
      <c r="B327" s="3046"/>
      <c r="C327" s="3046"/>
      <c r="D327" s="3046"/>
      <c r="E327" s="3046"/>
      <c r="F327" s="3046"/>
      <c r="G327" s="3046"/>
      <c r="H327" s="3046"/>
      <c r="I327" s="3046"/>
      <c r="J327" s="3046"/>
      <c r="K327" s="3046"/>
      <c r="L327" s="3046"/>
      <c r="M327" s="3046"/>
      <c r="N327" s="3046"/>
      <c r="O327" s="3046"/>
      <c r="P327" s="3046"/>
      <c r="Q327" s="3046"/>
      <c r="R327" s="3046"/>
      <c r="S327" s="3046"/>
      <c r="T327" s="3046"/>
      <c r="U327" s="3046"/>
      <c r="V327" s="3046"/>
      <c r="W327" s="3046"/>
      <c r="X327" s="3046"/>
      <c r="Y327" s="3046"/>
      <c r="Z327" s="3046"/>
      <c r="AA327" s="3046"/>
      <c r="AB327" s="3046"/>
      <c r="AC327" s="3046"/>
      <c r="AD327" s="3046"/>
      <c r="AE327" s="3046"/>
      <c r="AF327" s="3046"/>
      <c r="AG327" s="3046"/>
      <c r="AH327" s="3046"/>
      <c r="AI327" s="3046"/>
      <c r="AJ327" s="3046"/>
      <c r="AK327" s="1077"/>
      <c r="AL327" s="966"/>
      <c r="AM327" s="1026"/>
      <c r="AN327" s="999"/>
    </row>
    <row r="328" spans="1:42" s="942" customFormat="1" ht="12.75" customHeight="1">
      <c r="A328" s="1026"/>
      <c r="B328" s="3046"/>
      <c r="C328" s="3046"/>
      <c r="D328" s="3046"/>
      <c r="E328" s="3046"/>
      <c r="F328" s="3046"/>
      <c r="G328" s="3046"/>
      <c r="H328" s="3046"/>
      <c r="I328" s="3046"/>
      <c r="J328" s="3046"/>
      <c r="K328" s="3046"/>
      <c r="L328" s="3046"/>
      <c r="M328" s="3046"/>
      <c r="N328" s="3046"/>
      <c r="O328" s="3046"/>
      <c r="P328" s="3046"/>
      <c r="Q328" s="3046"/>
      <c r="R328" s="3046"/>
      <c r="S328" s="3046"/>
      <c r="T328" s="3046"/>
      <c r="U328" s="3046"/>
      <c r="V328" s="3046"/>
      <c r="W328" s="3046"/>
      <c r="X328" s="3046"/>
      <c r="Y328" s="3046"/>
      <c r="Z328" s="3046"/>
      <c r="AA328" s="3046"/>
      <c r="AB328" s="3046"/>
      <c r="AC328" s="3046"/>
      <c r="AD328" s="3046"/>
      <c r="AE328" s="3046"/>
      <c r="AF328" s="3046"/>
      <c r="AG328" s="3046"/>
      <c r="AH328" s="3046"/>
      <c r="AI328" s="3046"/>
      <c r="AJ328" s="3046"/>
      <c r="AK328" s="1077"/>
      <c r="AL328" s="966"/>
      <c r="AM328" s="1026"/>
      <c r="AN328" s="999"/>
    </row>
    <row r="329" spans="1:42" s="942" customFormat="1" ht="12.75" customHeight="1">
      <c r="A329" s="1026"/>
      <c r="B329" s="3046"/>
      <c r="C329" s="3046"/>
      <c r="D329" s="3046"/>
      <c r="E329" s="3046"/>
      <c r="F329" s="3046"/>
      <c r="G329" s="3046"/>
      <c r="H329" s="3046"/>
      <c r="I329" s="3046"/>
      <c r="J329" s="3046"/>
      <c r="K329" s="3046"/>
      <c r="L329" s="3046"/>
      <c r="M329" s="3046"/>
      <c r="N329" s="3046"/>
      <c r="O329" s="3046"/>
      <c r="P329" s="3046"/>
      <c r="Q329" s="3046"/>
      <c r="R329" s="3046"/>
      <c r="S329" s="3046"/>
      <c r="T329" s="3046"/>
      <c r="U329" s="3046"/>
      <c r="V329" s="3046"/>
      <c r="W329" s="3046"/>
      <c r="X329" s="3046"/>
      <c r="Y329" s="3046"/>
      <c r="Z329" s="3046"/>
      <c r="AA329" s="3046"/>
      <c r="AB329" s="3046"/>
      <c r="AC329" s="3046"/>
      <c r="AD329" s="3046"/>
      <c r="AE329" s="3046"/>
      <c r="AF329" s="3046"/>
      <c r="AG329" s="3046"/>
      <c r="AH329" s="3046"/>
      <c r="AI329" s="3046"/>
      <c r="AJ329" s="3046"/>
      <c r="AK329" s="1077"/>
      <c r="AL329" s="966"/>
      <c r="AM329" s="1026"/>
      <c r="AN329" s="999"/>
    </row>
    <row r="330" spans="1:42" s="942" customFormat="1" ht="12.75" customHeight="1">
      <c r="A330" s="1026"/>
      <c r="B330" s="3046"/>
      <c r="C330" s="3046"/>
      <c r="D330" s="3046"/>
      <c r="E330" s="3046"/>
      <c r="F330" s="3046"/>
      <c r="G330" s="3046"/>
      <c r="H330" s="3046"/>
      <c r="I330" s="3046"/>
      <c r="J330" s="3046"/>
      <c r="K330" s="3046"/>
      <c r="L330" s="3046"/>
      <c r="M330" s="3046"/>
      <c r="N330" s="3046"/>
      <c r="O330" s="3046"/>
      <c r="P330" s="3046"/>
      <c r="Q330" s="3046"/>
      <c r="R330" s="3046"/>
      <c r="S330" s="3046"/>
      <c r="T330" s="3046"/>
      <c r="U330" s="3046"/>
      <c r="V330" s="3046"/>
      <c r="W330" s="3046"/>
      <c r="X330" s="3046"/>
      <c r="Y330" s="3046"/>
      <c r="Z330" s="3046"/>
      <c r="AA330" s="3046"/>
      <c r="AB330" s="3046"/>
      <c r="AC330" s="3046"/>
      <c r="AD330" s="3046"/>
      <c r="AE330" s="3046"/>
      <c r="AF330" s="3046"/>
      <c r="AG330" s="3046"/>
      <c r="AH330" s="3046"/>
      <c r="AI330" s="3046"/>
      <c r="AJ330" s="3046"/>
      <c r="AK330" s="1077"/>
      <c r="AL330" s="966"/>
      <c r="AM330" s="1026"/>
      <c r="AN330" s="999"/>
    </row>
    <row r="331" spans="1:42" s="942" customFormat="1" ht="12.75" customHeight="1">
      <c r="A331" s="1026"/>
      <c r="B331" s="3046"/>
      <c r="C331" s="3046"/>
      <c r="D331" s="3046"/>
      <c r="E331" s="3046"/>
      <c r="F331" s="3046"/>
      <c r="G331" s="3046"/>
      <c r="H331" s="3046"/>
      <c r="I331" s="3046"/>
      <c r="J331" s="3046"/>
      <c r="K331" s="3046"/>
      <c r="L331" s="3046"/>
      <c r="M331" s="3046"/>
      <c r="N331" s="3046"/>
      <c r="O331" s="3046"/>
      <c r="P331" s="3046"/>
      <c r="Q331" s="3046"/>
      <c r="R331" s="3046"/>
      <c r="S331" s="3046"/>
      <c r="T331" s="3046"/>
      <c r="U331" s="3046"/>
      <c r="V331" s="3046"/>
      <c r="W331" s="3046"/>
      <c r="X331" s="3046"/>
      <c r="Y331" s="3046"/>
      <c r="Z331" s="3046"/>
      <c r="AA331" s="3046"/>
      <c r="AB331" s="3046"/>
      <c r="AC331" s="3046"/>
      <c r="AD331" s="3046"/>
      <c r="AE331" s="3046"/>
      <c r="AF331" s="3046"/>
      <c r="AG331" s="3046"/>
      <c r="AH331" s="3046"/>
      <c r="AI331" s="3046"/>
      <c r="AJ331" s="3046"/>
      <c r="AK331" s="1077"/>
      <c r="AL331" s="966"/>
      <c r="AM331" s="1026"/>
      <c r="AN331" s="999"/>
    </row>
    <row r="332" spans="1:42" ht="12.75" customHeight="1">
      <c r="A332" s="1026"/>
      <c r="B332" s="3046"/>
      <c r="C332" s="3046"/>
      <c r="D332" s="3046"/>
      <c r="E332" s="3046"/>
      <c r="F332" s="3046"/>
      <c r="G332" s="3046"/>
      <c r="H332" s="3046"/>
      <c r="I332" s="3046"/>
      <c r="J332" s="3046"/>
      <c r="K332" s="3046"/>
      <c r="L332" s="3046"/>
      <c r="M332" s="3046"/>
      <c r="N332" s="3046"/>
      <c r="O332" s="3046"/>
      <c r="P332" s="3046"/>
      <c r="Q332" s="3046"/>
      <c r="R332" s="3046"/>
      <c r="S332" s="3046"/>
      <c r="T332" s="3046"/>
      <c r="U332" s="3046"/>
      <c r="V332" s="3046"/>
      <c r="W332" s="3046"/>
      <c r="X332" s="3046"/>
      <c r="Y332" s="3046"/>
      <c r="Z332" s="3046"/>
      <c r="AA332" s="3046"/>
      <c r="AB332" s="3046"/>
      <c r="AC332" s="3046"/>
      <c r="AD332" s="3046"/>
      <c r="AE332" s="3046"/>
      <c r="AF332" s="3046"/>
      <c r="AG332" s="3046"/>
      <c r="AH332" s="3046"/>
      <c r="AI332" s="3046"/>
      <c r="AJ332" s="3046"/>
      <c r="AK332" s="1077"/>
      <c r="AL332" s="966"/>
      <c r="AM332" s="1026"/>
    </row>
    <row r="333" spans="1:42" s="942" customFormat="1" ht="12.75" customHeight="1">
      <c r="A333" s="1059"/>
      <c r="B333" s="3046"/>
      <c r="C333" s="3046"/>
      <c r="D333" s="3046"/>
      <c r="E333" s="3046"/>
      <c r="F333" s="3046"/>
      <c r="G333" s="3046"/>
      <c r="H333" s="3046"/>
      <c r="I333" s="3046"/>
      <c r="J333" s="3046"/>
      <c r="K333" s="3046"/>
      <c r="L333" s="3046"/>
      <c r="M333" s="3046"/>
      <c r="N333" s="3046"/>
      <c r="O333" s="3046"/>
      <c r="P333" s="3046"/>
      <c r="Q333" s="3046"/>
      <c r="R333" s="3046"/>
      <c r="S333" s="3046"/>
      <c r="T333" s="3046"/>
      <c r="U333" s="3046"/>
      <c r="V333" s="3046"/>
      <c r="W333" s="3046"/>
      <c r="X333" s="3046"/>
      <c r="Y333" s="3046"/>
      <c r="Z333" s="3046"/>
      <c r="AA333" s="3046"/>
      <c r="AB333" s="3046"/>
      <c r="AC333" s="3046"/>
      <c r="AD333" s="3046"/>
      <c r="AE333" s="3046"/>
      <c r="AF333" s="3046"/>
      <c r="AG333" s="3046"/>
      <c r="AH333" s="3046"/>
      <c r="AI333" s="3046"/>
      <c r="AJ333" s="3046"/>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1670</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625</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577</v>
      </c>
    </row>
    <row r="337" spans="1:42" s="942" customFormat="1" ht="12.75" customHeight="1">
      <c r="A337" s="1059"/>
      <c r="B337" s="1059"/>
      <c r="C337" s="985" t="s">
        <v>1671</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724</v>
      </c>
      <c r="E339" s="1635" t="s">
        <v>2194</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145" t="s">
        <v>1606</v>
      </c>
      <c r="AG339" s="3145"/>
      <c r="AH339" s="3145"/>
      <c r="AI339" s="3145"/>
      <c r="AJ339" s="3145"/>
      <c r="AK339" s="3145"/>
      <c r="AL339" s="3145"/>
      <c r="AM339" s="1025"/>
      <c r="AN339" s="999"/>
    </row>
    <row r="340" spans="1:42" s="942" customFormat="1" ht="12.75" customHeight="1">
      <c r="A340" s="1025"/>
      <c r="B340" s="1005"/>
      <c r="C340" s="1034"/>
      <c r="D340" s="1105"/>
      <c r="E340" s="1635" t="s">
        <v>2195</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2196</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2197</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2198</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2199</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541</v>
      </c>
      <c r="E346" s="1635" t="s">
        <v>2200</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145" t="s">
        <v>1672</v>
      </c>
      <c r="AG346" s="3145"/>
      <c r="AH346" s="3145"/>
      <c r="AI346" s="3145"/>
      <c r="AJ346" s="3145"/>
      <c r="AK346" s="3145"/>
      <c r="AL346" s="3145"/>
      <c r="AM346" s="1025"/>
      <c r="AN346" s="999"/>
    </row>
    <row r="347" spans="1:42" s="942" customFormat="1" ht="12.75" customHeight="1">
      <c r="A347" s="1059"/>
      <c r="B347" s="1022"/>
      <c r="C347" s="1638"/>
      <c r="D347" s="1105"/>
      <c r="E347" s="1635" t="s">
        <v>2201</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625</v>
      </c>
      <c r="AP347" s="1119">
        <v>0</v>
      </c>
    </row>
    <row r="348" spans="1:42" s="942" customFormat="1" ht="12.75" customHeight="1">
      <c r="A348" s="1059"/>
      <c r="B348" s="1023"/>
      <c r="C348" s="1639"/>
      <c r="D348" s="1105"/>
      <c r="E348" s="1635" t="s">
        <v>2202</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724</v>
      </c>
      <c r="AP348" s="942">
        <v>7</v>
      </c>
    </row>
    <row r="349" spans="1:42" s="942" customFormat="1" ht="12.75" customHeight="1">
      <c r="A349" s="1059"/>
      <c r="B349" s="1023"/>
      <c r="C349" s="1639"/>
      <c r="D349" s="1105"/>
      <c r="E349" s="1635" t="s">
        <v>2204</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541</v>
      </c>
      <c r="AP349" s="942">
        <v>6</v>
      </c>
    </row>
    <row r="350" spans="1:42" s="942" customFormat="1" ht="12.75" customHeight="1">
      <c r="A350" s="1059"/>
      <c r="B350" s="1023"/>
      <c r="C350" s="1639"/>
      <c r="D350" s="1105"/>
      <c r="E350" s="1635" t="s">
        <v>2203</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283</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1673</v>
      </c>
      <c r="AP351" s="942">
        <v>4</v>
      </c>
    </row>
    <row r="352" spans="1:42" s="942" customFormat="1" ht="12.75" customHeight="1">
      <c r="A352" s="1059"/>
      <c r="B352" s="1005"/>
      <c r="C352" s="1636"/>
      <c r="D352" s="1105" t="s">
        <v>283</v>
      </c>
      <c r="E352" s="1635" t="s">
        <v>2205</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145" t="s">
        <v>1646</v>
      </c>
      <c r="AG352" s="3145"/>
      <c r="AH352" s="3145"/>
      <c r="AI352" s="3145"/>
      <c r="AJ352" s="3145"/>
      <c r="AK352" s="3145"/>
      <c r="AL352" s="3145"/>
      <c r="AM352" s="1025"/>
      <c r="AN352" s="999"/>
      <c r="AO352" s="1117" t="s">
        <v>1674</v>
      </c>
      <c r="AP352" s="942">
        <v>3</v>
      </c>
    </row>
    <row r="353" spans="1:53" s="942" customFormat="1" ht="12.75" customHeight="1">
      <c r="A353" s="1059"/>
      <c r="B353" s="1022"/>
      <c r="C353" s="1638"/>
      <c r="D353" s="1105"/>
      <c r="E353" s="1635" t="s">
        <v>2201</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2202</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2204</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2203</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1673</v>
      </c>
      <c r="E358" s="1635" t="s">
        <v>2206</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145" t="s">
        <v>1675</v>
      </c>
      <c r="AG358" s="3145"/>
      <c r="AH358" s="3145"/>
      <c r="AI358" s="3145"/>
      <c r="AJ358" s="3145"/>
      <c r="AK358" s="3145"/>
      <c r="AL358" s="3145"/>
      <c r="AM358" s="1025"/>
      <c r="AN358" s="999"/>
      <c r="AO358" s="942" t="str">
        <f>X395</f>
        <v>N/A</v>
      </c>
    </row>
    <row r="359" spans="1:53" s="942" customFormat="1" ht="12.75" customHeight="1">
      <c r="A359" s="1059"/>
      <c r="B359" s="1022"/>
      <c r="C359" s="1638"/>
      <c r="D359" s="1105"/>
      <c r="E359" s="1635" t="s">
        <v>2207</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2208</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2393</v>
      </c>
      <c r="O362" s="3153" t="s">
        <v>1382</v>
      </c>
      <c r="P362" s="3153"/>
      <c r="Q362" s="3153"/>
      <c r="R362" s="3153"/>
      <c r="S362" s="3153"/>
      <c r="T362" s="3153"/>
      <c r="U362" s="3153"/>
      <c r="V362" s="3153"/>
      <c r="W362" s="3153"/>
      <c r="X362" s="3153"/>
      <c r="Y362" s="3153"/>
      <c r="Z362" s="3153"/>
      <c r="AA362" s="3153"/>
      <c r="AB362" s="3153"/>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1674</v>
      </c>
      <c r="E364" s="1635" t="s">
        <v>2210</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145" t="s">
        <v>1620</v>
      </c>
      <c r="AG364" s="3145"/>
      <c r="AH364" s="3145"/>
      <c r="AI364" s="3145"/>
      <c r="AJ364" s="3145"/>
      <c r="AK364" s="3145"/>
      <c r="AL364" s="3145"/>
      <c r="AM364" s="1025"/>
      <c r="AN364" s="1000"/>
    </row>
    <row r="365" spans="1:53" s="942" customFormat="1" ht="12.75" customHeight="1">
      <c r="A365" s="1059"/>
      <c r="B365" s="1005"/>
      <c r="C365" s="1636"/>
      <c r="D365" s="1105"/>
      <c r="E365" s="1635" t="s">
        <v>2209</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625</v>
      </c>
      <c r="AP366" s="1119">
        <v>0</v>
      </c>
      <c r="AT366" s="942" t="s">
        <v>625</v>
      </c>
      <c r="AU366" s="1119">
        <v>0</v>
      </c>
    </row>
    <row r="367" spans="1:53" s="942" customFormat="1" ht="12.75" customHeight="1">
      <c r="A367" s="1059"/>
      <c r="B367" s="1022"/>
      <c r="C367" s="1638"/>
      <c r="D367" s="1022" t="s">
        <v>1676</v>
      </c>
      <c r="E367" s="1642"/>
      <c r="F367" s="1642"/>
      <c r="G367" s="1642"/>
      <c r="H367" s="3045" t="s">
        <v>1673</v>
      </c>
      <c r="I367" s="3045"/>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724</v>
      </c>
      <c r="AP367" s="942">
        <v>3</v>
      </c>
      <c r="AT367" s="1117" t="s">
        <v>724</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541</v>
      </c>
      <c r="AP368" s="942">
        <v>2</v>
      </c>
      <c r="AT368" s="1117" t="s">
        <v>541</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2211</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2212</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2213</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2214</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625</v>
      </c>
      <c r="AP374" s="1119">
        <v>0</v>
      </c>
    </row>
    <row r="375" spans="1:46" s="942" customFormat="1" ht="12.75" customHeight="1">
      <c r="A375" s="1059"/>
      <c r="B375" s="1022"/>
      <c r="C375" s="1638"/>
      <c r="D375" s="1022"/>
      <c r="E375" s="1022" t="s">
        <v>1676</v>
      </c>
      <c r="F375" s="1642"/>
      <c r="G375" s="1642"/>
      <c r="I375" s="3152" t="s">
        <v>625</v>
      </c>
      <c r="J375" s="3152"/>
      <c r="K375" s="3152"/>
      <c r="L375" s="3152"/>
      <c r="M375" s="3152"/>
      <c r="N375" s="3152"/>
      <c r="O375" s="3152"/>
      <c r="P375" s="3152"/>
      <c r="Q375" s="3152"/>
      <c r="R375" s="3152"/>
      <c r="S375" s="3152"/>
      <c r="T375" s="3152"/>
      <c r="U375" s="3152"/>
      <c r="V375" s="3152"/>
      <c r="W375" s="3152"/>
      <c r="X375" s="3152"/>
      <c r="Y375" s="3152"/>
      <c r="Z375" s="3152"/>
      <c r="AA375" s="3152"/>
      <c r="AB375" s="3152"/>
      <c r="AC375" s="3152"/>
      <c r="AD375" s="3152"/>
      <c r="AE375" s="3152"/>
      <c r="AF375" s="926"/>
      <c r="AG375" s="926"/>
      <c r="AH375" s="926"/>
      <c r="AI375" s="926"/>
      <c r="AJ375" s="926"/>
      <c r="AK375" s="926"/>
      <c r="AL375" s="926"/>
      <c r="AN375" s="999"/>
      <c r="AO375" s="942" t="s">
        <v>1677</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1678</v>
      </c>
      <c r="AP376" s="942">
        <v>2</v>
      </c>
    </row>
    <row r="377" spans="1:46" s="942" customFormat="1" ht="12.75" customHeight="1">
      <c r="A377" s="1059"/>
      <c r="B377" s="3150" t="s">
        <v>625</v>
      </c>
      <c r="C377" s="3150"/>
      <c r="D377" s="1643"/>
      <c r="E377" s="3046" t="s">
        <v>1679</v>
      </c>
      <c r="F377" s="3046"/>
      <c r="G377" s="3046"/>
      <c r="H377" s="3046"/>
      <c r="I377" s="3046"/>
      <c r="J377" s="3046"/>
      <c r="K377" s="3046"/>
      <c r="L377" s="3046"/>
      <c r="M377" s="3046"/>
      <c r="N377" s="3046"/>
      <c r="O377" s="3046"/>
      <c r="P377" s="3046"/>
      <c r="Q377" s="3046"/>
      <c r="R377" s="3046"/>
      <c r="S377" s="3046"/>
      <c r="T377" s="3046"/>
      <c r="U377" s="3046"/>
      <c r="V377" s="3046"/>
      <c r="W377" s="3046"/>
      <c r="X377" s="3046"/>
      <c r="Y377" s="3046"/>
      <c r="Z377" s="3046"/>
      <c r="AA377" s="3046"/>
      <c r="AB377" s="3046"/>
      <c r="AC377" s="3046"/>
      <c r="AD377" s="3046"/>
      <c r="AE377" s="3046"/>
      <c r="AF377" s="3046"/>
      <c r="AG377" s="3046"/>
      <c r="AH377" s="1643"/>
      <c r="AI377" s="1643"/>
      <c r="AJ377" s="1643"/>
      <c r="AK377" s="1643"/>
      <c r="AL377" s="1643"/>
      <c r="AN377" s="999"/>
    </row>
    <row r="378" spans="1:46" s="942" customFormat="1" ht="12.75" customHeight="1">
      <c r="A378" s="1059"/>
      <c r="B378" s="1022"/>
      <c r="C378" s="1638"/>
      <c r="D378" s="1643"/>
      <c r="E378" s="3046"/>
      <c r="F378" s="3046"/>
      <c r="G378" s="3046"/>
      <c r="H378" s="3046"/>
      <c r="I378" s="3046"/>
      <c r="J378" s="3046"/>
      <c r="K378" s="3046"/>
      <c r="L378" s="3046"/>
      <c r="M378" s="3046"/>
      <c r="N378" s="3046"/>
      <c r="O378" s="3046"/>
      <c r="P378" s="3046"/>
      <c r="Q378" s="3046"/>
      <c r="R378" s="3046"/>
      <c r="S378" s="3046"/>
      <c r="T378" s="3046"/>
      <c r="U378" s="3046"/>
      <c r="V378" s="3046"/>
      <c r="W378" s="3046"/>
      <c r="X378" s="3046"/>
      <c r="Y378" s="3046"/>
      <c r="Z378" s="3046"/>
      <c r="AA378" s="3046"/>
      <c r="AB378" s="3046"/>
      <c r="AC378" s="3046"/>
      <c r="AD378" s="3046"/>
      <c r="AE378" s="3046"/>
      <c r="AF378" s="3046"/>
      <c r="AG378" s="3046"/>
      <c r="AH378" s="1643"/>
      <c r="AI378" s="1643"/>
      <c r="AJ378" s="1643"/>
      <c r="AK378" s="1643"/>
      <c r="AL378" s="1643"/>
      <c r="AN378" s="999"/>
    </row>
    <row r="379" spans="1:46" s="942" customFormat="1" ht="12.75" customHeight="1">
      <c r="A379" s="1059"/>
      <c r="B379" s="1022"/>
      <c r="C379" s="1638"/>
      <c r="D379" s="1643"/>
      <c r="E379" s="3046"/>
      <c r="F379" s="3046"/>
      <c r="G379" s="3046"/>
      <c r="H379" s="3046"/>
      <c r="I379" s="3046"/>
      <c r="J379" s="3046"/>
      <c r="K379" s="3046"/>
      <c r="L379" s="3046"/>
      <c r="M379" s="3046"/>
      <c r="N379" s="3046"/>
      <c r="O379" s="3046"/>
      <c r="P379" s="3046"/>
      <c r="Q379" s="3046"/>
      <c r="R379" s="3046"/>
      <c r="S379" s="3046"/>
      <c r="T379" s="3046"/>
      <c r="U379" s="3046"/>
      <c r="V379" s="3046"/>
      <c r="W379" s="3046"/>
      <c r="X379" s="3046"/>
      <c r="Y379" s="3046"/>
      <c r="Z379" s="3046"/>
      <c r="AA379" s="3046"/>
      <c r="AB379" s="3046"/>
      <c r="AC379" s="3046"/>
      <c r="AD379" s="3046"/>
      <c r="AE379" s="3046"/>
      <c r="AF379" s="3046"/>
      <c r="AG379" s="3046"/>
      <c r="AH379" s="1643"/>
      <c r="AI379" s="1643"/>
      <c r="AJ379" s="1643"/>
      <c r="AK379" s="1643"/>
      <c r="AL379" s="1643"/>
      <c r="AN379" s="999"/>
    </row>
    <row r="380" spans="1:46" s="942" customFormat="1" ht="12.75" customHeight="1">
      <c r="A380" s="1059"/>
      <c r="B380" s="1022"/>
      <c r="C380" s="1638"/>
      <c r="D380" s="1645"/>
      <c r="E380" s="3046"/>
      <c r="F380" s="3046"/>
      <c r="G380" s="3046"/>
      <c r="H380" s="3046"/>
      <c r="I380" s="3046"/>
      <c r="J380" s="3046"/>
      <c r="K380" s="3046"/>
      <c r="L380" s="3046"/>
      <c r="M380" s="3046"/>
      <c r="N380" s="3046"/>
      <c r="O380" s="3046"/>
      <c r="P380" s="3046"/>
      <c r="Q380" s="3046"/>
      <c r="R380" s="3046"/>
      <c r="S380" s="3046"/>
      <c r="T380" s="3046"/>
      <c r="U380" s="3046"/>
      <c r="V380" s="3046"/>
      <c r="W380" s="3046"/>
      <c r="X380" s="3046"/>
      <c r="Y380" s="3046"/>
      <c r="Z380" s="3046"/>
      <c r="AA380" s="3046"/>
      <c r="AB380" s="3046"/>
      <c r="AC380" s="3046"/>
      <c r="AD380" s="3046"/>
      <c r="AE380" s="3046"/>
      <c r="AF380" s="3046"/>
      <c r="AG380" s="3046"/>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1680</v>
      </c>
      <c r="AJ382" s="3028">
        <f>VLOOKUP($H$367,$AO$347:$AP$352,2,FALSE)+VLOOKUP($I$375,$AO$374:$AP$376,2,FALSE)</f>
        <v>4</v>
      </c>
      <c r="AK382" s="3030"/>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1681</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724</v>
      </c>
      <c r="E386" s="3151" t="s">
        <v>2190</v>
      </c>
      <c r="F386" s="3151"/>
      <c r="G386" s="3151"/>
      <c r="H386" s="3151"/>
      <c r="I386" s="3151"/>
      <c r="J386" s="3151"/>
      <c r="K386" s="3151"/>
      <c r="L386" s="3151"/>
      <c r="M386" s="3151"/>
      <c r="N386" s="3151"/>
      <c r="O386" s="3151"/>
      <c r="P386" s="3151"/>
      <c r="Q386" s="3151"/>
      <c r="R386" s="3151"/>
      <c r="S386" s="3151"/>
      <c r="T386" s="3151"/>
      <c r="U386" s="3151"/>
      <c r="V386" s="3151"/>
      <c r="W386" s="3151"/>
      <c r="X386" s="3151"/>
      <c r="Y386" s="3151"/>
      <c r="Z386" s="3151"/>
      <c r="AA386" s="3151"/>
      <c r="AB386" s="3151"/>
      <c r="AC386" s="3151"/>
      <c r="AD386" s="3151"/>
      <c r="AE386" s="931"/>
      <c r="AF386" s="3145" t="s">
        <v>1620</v>
      </c>
      <c r="AG386" s="3145"/>
      <c r="AH386" s="3145"/>
      <c r="AI386" s="3145"/>
      <c r="AJ386" s="3145"/>
      <c r="AK386" s="3145"/>
      <c r="AL386" s="3145"/>
      <c r="AM386" s="1025"/>
      <c r="AN386" s="1124"/>
    </row>
    <row r="387" spans="1:42" s="942" customFormat="1" ht="12.75" customHeight="1">
      <c r="A387" s="1125"/>
      <c r="B387" s="1022"/>
      <c r="C387" s="1638"/>
      <c r="D387" s="1105"/>
      <c r="E387" s="3151"/>
      <c r="F387" s="3151"/>
      <c r="G387" s="3151"/>
      <c r="H387" s="3151"/>
      <c r="I387" s="3151"/>
      <c r="J387" s="3151"/>
      <c r="K387" s="3151"/>
      <c r="L387" s="3151"/>
      <c r="M387" s="3151"/>
      <c r="N387" s="3151"/>
      <c r="O387" s="3151"/>
      <c r="P387" s="3151"/>
      <c r="Q387" s="3151"/>
      <c r="R387" s="3151"/>
      <c r="S387" s="3151"/>
      <c r="T387" s="3151"/>
      <c r="U387" s="3151"/>
      <c r="V387" s="3151"/>
      <c r="W387" s="3151"/>
      <c r="X387" s="3151"/>
      <c r="Y387" s="3151"/>
      <c r="Z387" s="3151"/>
      <c r="AA387" s="3151"/>
      <c r="AB387" s="3151"/>
      <c r="AC387" s="3151"/>
      <c r="AD387" s="3151"/>
      <c r="AE387" s="1005"/>
      <c r="AF387" s="1005"/>
      <c r="AG387" s="1005"/>
      <c r="AH387" s="1005"/>
      <c r="AI387" s="1005"/>
      <c r="AJ387" s="1005"/>
      <c r="AK387" s="1005"/>
      <c r="AL387" s="1005"/>
      <c r="AM387" s="1025"/>
      <c r="AN387" s="999"/>
    </row>
    <row r="388" spans="1:42" s="942" customFormat="1" ht="12.75" customHeight="1">
      <c r="A388" s="1059"/>
      <c r="B388" s="1022"/>
      <c r="C388" s="1639"/>
      <c r="D388" s="1105"/>
      <c r="E388" s="3151"/>
      <c r="F388" s="3151"/>
      <c r="G388" s="3151"/>
      <c r="H388" s="3151"/>
      <c r="I388" s="3151"/>
      <c r="J388" s="3151"/>
      <c r="K388" s="3151"/>
      <c r="L388" s="3151"/>
      <c r="M388" s="3151"/>
      <c r="N388" s="3151"/>
      <c r="O388" s="3151"/>
      <c r="P388" s="3151"/>
      <c r="Q388" s="3151"/>
      <c r="R388" s="3151"/>
      <c r="S388" s="3151"/>
      <c r="T388" s="3151"/>
      <c r="U388" s="3151"/>
      <c r="V388" s="3151"/>
      <c r="W388" s="3151"/>
      <c r="X388" s="3151"/>
      <c r="Y388" s="3151"/>
      <c r="Z388" s="3151"/>
      <c r="AA388" s="3151"/>
      <c r="AB388" s="3151"/>
      <c r="AC388" s="3151"/>
      <c r="AD388" s="3151"/>
      <c r="AE388" s="1005"/>
      <c r="AF388" s="1005"/>
      <c r="AG388" s="1005"/>
      <c r="AH388" s="1005"/>
      <c r="AI388" s="1005"/>
      <c r="AJ388" s="1005"/>
      <c r="AK388" s="1005"/>
      <c r="AL388" s="1005"/>
      <c r="AM388" s="1025"/>
      <c r="AN388" s="999"/>
    </row>
    <row r="389" spans="1:42" s="942" customFormat="1" ht="12.75" customHeight="1">
      <c r="A389" s="1059"/>
      <c r="B389" s="1022"/>
      <c r="C389" s="1639"/>
      <c r="D389" s="1105"/>
      <c r="E389" s="3151"/>
      <c r="F389" s="3151"/>
      <c r="G389" s="3151"/>
      <c r="H389" s="3151"/>
      <c r="I389" s="3151"/>
      <c r="J389" s="3151"/>
      <c r="K389" s="3151"/>
      <c r="L389" s="3151"/>
      <c r="M389" s="3151"/>
      <c r="N389" s="3151"/>
      <c r="O389" s="3151"/>
      <c r="P389" s="3151"/>
      <c r="Q389" s="3151"/>
      <c r="R389" s="3151"/>
      <c r="S389" s="3151"/>
      <c r="T389" s="3151"/>
      <c r="U389" s="3151"/>
      <c r="V389" s="3151"/>
      <c r="W389" s="3151"/>
      <c r="X389" s="3151"/>
      <c r="Y389" s="3151"/>
      <c r="Z389" s="3151"/>
      <c r="AA389" s="3151"/>
      <c r="AB389" s="3151"/>
      <c r="AC389" s="3151"/>
      <c r="AD389" s="3151"/>
      <c r="AE389" s="1005"/>
      <c r="AF389" s="1005"/>
      <c r="AG389" s="1005"/>
      <c r="AH389" s="1005"/>
      <c r="AI389" s="1005"/>
      <c r="AJ389" s="1005"/>
      <c r="AK389" s="1005"/>
      <c r="AL389" s="1005"/>
      <c r="AM389" s="1025"/>
      <c r="AN389" s="999"/>
    </row>
    <row r="390" spans="1:42" s="942" customFormat="1" ht="12.75" customHeight="1">
      <c r="A390" s="1059"/>
      <c r="B390" s="1022"/>
      <c r="C390" s="1639"/>
      <c r="D390" s="1105"/>
      <c r="E390" s="3151"/>
      <c r="F390" s="3151"/>
      <c r="G390" s="3151"/>
      <c r="H390" s="3151"/>
      <c r="I390" s="3151"/>
      <c r="J390" s="3151"/>
      <c r="K390" s="3151"/>
      <c r="L390" s="3151"/>
      <c r="M390" s="3151"/>
      <c r="N390" s="3151"/>
      <c r="O390" s="3151"/>
      <c r="P390" s="3151"/>
      <c r="Q390" s="3151"/>
      <c r="R390" s="3151"/>
      <c r="S390" s="3151"/>
      <c r="T390" s="3151"/>
      <c r="U390" s="3151"/>
      <c r="V390" s="3151"/>
      <c r="W390" s="3151"/>
      <c r="X390" s="3151"/>
      <c r="Y390" s="3151"/>
      <c r="Z390" s="3151"/>
      <c r="AA390" s="3151"/>
      <c r="AB390" s="3151"/>
      <c r="AC390" s="3151"/>
      <c r="AD390" s="3151"/>
      <c r="AE390" s="1005"/>
      <c r="AF390" s="1005"/>
      <c r="AG390" s="1005"/>
      <c r="AH390" s="1005"/>
      <c r="AI390" s="1005"/>
      <c r="AJ390" s="1005"/>
      <c r="AK390" s="1005"/>
      <c r="AL390" s="1005"/>
      <c r="AM390" s="1025"/>
      <c r="AN390" s="999"/>
    </row>
    <row r="391" spans="1:42" s="942" customFormat="1" ht="12.75" customHeight="1">
      <c r="A391" s="1059"/>
      <c r="B391" s="1022"/>
      <c r="C391" s="1639"/>
      <c r="D391" s="1105"/>
      <c r="E391" s="3151"/>
      <c r="F391" s="3151"/>
      <c r="G391" s="3151"/>
      <c r="H391" s="3151"/>
      <c r="I391" s="3151"/>
      <c r="J391" s="3151"/>
      <c r="K391" s="3151"/>
      <c r="L391" s="3151"/>
      <c r="M391" s="3151"/>
      <c r="N391" s="3151"/>
      <c r="O391" s="3151"/>
      <c r="P391" s="3151"/>
      <c r="Q391" s="3151"/>
      <c r="R391" s="3151"/>
      <c r="S391" s="3151"/>
      <c r="T391" s="3151"/>
      <c r="U391" s="3151"/>
      <c r="V391" s="3151"/>
      <c r="W391" s="3151"/>
      <c r="X391" s="3151"/>
      <c r="Y391" s="3151"/>
      <c r="Z391" s="3151"/>
      <c r="AA391" s="3151"/>
      <c r="AB391" s="3151"/>
      <c r="AC391" s="3151"/>
      <c r="AD391" s="3151"/>
      <c r="AE391" s="1005"/>
      <c r="AF391" s="1005"/>
      <c r="AG391" s="1005"/>
      <c r="AH391" s="1005"/>
      <c r="AI391" s="1005"/>
      <c r="AJ391" s="1005"/>
      <c r="AK391" s="1005"/>
      <c r="AL391" s="1005"/>
      <c r="AM391" s="1025"/>
      <c r="AN391" s="999"/>
    </row>
    <row r="392" spans="1:42" s="942" customFormat="1" ht="12.75" customHeight="1">
      <c r="A392" s="1118"/>
      <c r="B392" s="1034"/>
      <c r="C392" s="1648"/>
      <c r="D392" s="1105"/>
      <c r="E392" s="3151"/>
      <c r="F392" s="3151"/>
      <c r="G392" s="3151"/>
      <c r="H392" s="3151"/>
      <c r="I392" s="3151"/>
      <c r="J392" s="3151"/>
      <c r="K392" s="3151"/>
      <c r="L392" s="3151"/>
      <c r="M392" s="3151"/>
      <c r="N392" s="3151"/>
      <c r="O392" s="3151"/>
      <c r="P392" s="3151"/>
      <c r="Q392" s="3151"/>
      <c r="R392" s="3151"/>
      <c r="S392" s="3151"/>
      <c r="T392" s="3151"/>
      <c r="U392" s="3151"/>
      <c r="V392" s="3151"/>
      <c r="W392" s="3151"/>
      <c r="X392" s="3151"/>
      <c r="Y392" s="3151"/>
      <c r="Z392" s="3151"/>
      <c r="AA392" s="3151"/>
      <c r="AB392" s="3151"/>
      <c r="AC392" s="3151"/>
      <c r="AD392" s="3151"/>
      <c r="AE392" s="1034"/>
      <c r="AF392" s="1034"/>
      <c r="AG392" s="1034"/>
      <c r="AH392" s="1034"/>
      <c r="AI392" s="1034"/>
      <c r="AJ392" s="1034"/>
      <c r="AK392" s="1005"/>
      <c r="AL392" s="1005"/>
      <c r="AM392" s="1025"/>
      <c r="AN392" s="999"/>
    </row>
    <row r="393" spans="1:42" s="942" customFormat="1" ht="12.75" customHeight="1">
      <c r="A393" s="1059"/>
      <c r="B393" s="1034"/>
      <c r="C393" s="1648"/>
      <c r="D393" s="1105"/>
      <c r="E393" s="3151"/>
      <c r="F393" s="3151"/>
      <c r="G393" s="3151"/>
      <c r="H393" s="3151"/>
      <c r="I393" s="3151"/>
      <c r="J393" s="3151"/>
      <c r="K393" s="3151"/>
      <c r="L393" s="3151"/>
      <c r="M393" s="3151"/>
      <c r="N393" s="3151"/>
      <c r="O393" s="3151"/>
      <c r="P393" s="3151"/>
      <c r="Q393" s="3151"/>
      <c r="R393" s="3151"/>
      <c r="S393" s="3151"/>
      <c r="T393" s="3151"/>
      <c r="U393" s="3151"/>
      <c r="V393" s="3151"/>
      <c r="W393" s="3151"/>
      <c r="X393" s="3151"/>
      <c r="Y393" s="3151"/>
      <c r="Z393" s="3151"/>
      <c r="AA393" s="3151"/>
      <c r="AB393" s="3151"/>
      <c r="AC393" s="3151"/>
      <c r="AD393" s="3151"/>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625</v>
      </c>
      <c r="AP394" s="1126">
        <v>0</v>
      </c>
    </row>
    <row r="395" spans="1:42" s="942" customFormat="1" ht="12.75" customHeight="1">
      <c r="A395" s="1059"/>
      <c r="B395" s="1034"/>
      <c r="C395" s="1636"/>
      <c r="D395" s="1105"/>
      <c r="E395" s="1034" t="s">
        <v>1682</v>
      </c>
      <c r="F395" s="1649"/>
      <c r="G395" s="1649"/>
      <c r="H395" s="1649"/>
      <c r="I395" s="1649"/>
      <c r="J395" s="1649"/>
      <c r="K395" s="1649"/>
      <c r="L395" s="1649"/>
      <c r="M395" s="1649"/>
      <c r="N395" s="1649"/>
      <c r="O395" s="1649"/>
      <c r="P395" s="1649"/>
      <c r="Q395" s="1649"/>
      <c r="R395" s="1649"/>
      <c r="U395" s="1649"/>
      <c r="V395" s="1649"/>
      <c r="W395" s="1649"/>
      <c r="X395" s="3150" t="s">
        <v>625</v>
      </c>
      <c r="Y395" s="3150"/>
      <c r="Z395" s="1649"/>
      <c r="AA395" s="1649"/>
      <c r="AB395" s="1649"/>
      <c r="AC395" s="1649"/>
      <c r="AD395" s="1649"/>
      <c r="AE395" s="926"/>
      <c r="AF395" s="1034"/>
      <c r="AG395" s="1034"/>
      <c r="AH395" s="1034"/>
      <c r="AI395" s="1034"/>
      <c r="AJ395" s="1034"/>
      <c r="AK395" s="1005"/>
      <c r="AL395" s="1005"/>
      <c r="AM395" s="1025"/>
      <c r="AN395" s="999"/>
      <c r="AO395" s="1117" t="s">
        <v>724</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541</v>
      </c>
      <c r="AP396" s="1127">
        <v>4</v>
      </c>
    </row>
    <row r="397" spans="1:42" s="942" customFormat="1" ht="12.75" customHeight="1">
      <c r="A397" s="1059"/>
      <c r="B397" s="1005"/>
      <c r="C397" s="1636"/>
      <c r="D397" s="1105" t="s">
        <v>541</v>
      </c>
      <c r="E397" s="947" t="s">
        <v>1683</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145" t="s">
        <v>1684</v>
      </c>
      <c r="AG397" s="3145"/>
      <c r="AH397" s="3145"/>
      <c r="AI397" s="3145"/>
      <c r="AJ397" s="3145"/>
      <c r="AK397" s="3145"/>
      <c r="AL397" s="3145"/>
      <c r="AM397" s="1025"/>
      <c r="AN397" s="999"/>
      <c r="AO397" s="1117" t="s">
        <v>283</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1673</v>
      </c>
      <c r="AP398" s="1127">
        <v>4</v>
      </c>
    </row>
    <row r="399" spans="1:42" s="942" customFormat="1" ht="12.75" customHeight="1">
      <c r="A399" s="1059"/>
      <c r="B399" s="1005"/>
      <c r="C399" s="1636"/>
      <c r="D399" s="1022" t="s">
        <v>1676</v>
      </c>
      <c r="E399" s="1642"/>
      <c r="F399" s="1642"/>
      <c r="G399" s="1642"/>
      <c r="H399" s="3045" t="s">
        <v>724</v>
      </c>
      <c r="I399" s="3045"/>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1674</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1685</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1686</v>
      </c>
      <c r="AJ401" s="3028">
        <f>VLOOKUP($H$399,$AO$366:$AP$368,2,FALSE)</f>
        <v>3</v>
      </c>
      <c r="AK401" s="3030"/>
      <c r="AL401" s="1004"/>
      <c r="AM401" s="1001"/>
      <c r="AN401" s="999"/>
      <c r="AO401" s="1117" t="s">
        <v>1687</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1688</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724</v>
      </c>
      <c r="E405" s="1034" t="s">
        <v>1689</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145" t="s">
        <v>1620</v>
      </c>
      <c r="AG405" s="3145"/>
      <c r="AH405" s="3145"/>
      <c r="AI405" s="3145"/>
      <c r="AJ405" s="3145"/>
      <c r="AK405" s="3145"/>
      <c r="AL405" s="3145"/>
      <c r="AM405" s="1025"/>
      <c r="AN405" s="999"/>
    </row>
    <row r="406" spans="1:42" s="942" customFormat="1" ht="12.75" customHeight="1">
      <c r="A406" s="1059"/>
      <c r="B406" s="926"/>
      <c r="C406" s="926"/>
      <c r="D406" s="1105"/>
      <c r="E406" s="1034" t="s">
        <v>1690</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541</v>
      </c>
      <c r="E408" s="1034" t="s">
        <v>1691</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145" t="s">
        <v>1684</v>
      </c>
      <c r="AG408" s="3145"/>
      <c r="AH408" s="3145"/>
      <c r="AI408" s="3145"/>
      <c r="AJ408" s="3145"/>
      <c r="AK408" s="3145"/>
      <c r="AL408" s="3145"/>
      <c r="AM408" s="1025"/>
      <c r="AN408" s="999"/>
    </row>
    <row r="409" spans="1:42" s="942" customFormat="1" ht="12.75" customHeight="1">
      <c r="A409" s="1059"/>
      <c r="B409" s="1005"/>
      <c r="C409" s="1636"/>
      <c r="D409" s="1105"/>
      <c r="E409" s="1034" t="s">
        <v>1692</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1676</v>
      </c>
      <c r="E411" s="1642"/>
      <c r="F411" s="1642"/>
      <c r="G411" s="1642"/>
      <c r="H411" s="3045" t="s">
        <v>724</v>
      </c>
      <c r="I411" s="3045"/>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1693</v>
      </c>
      <c r="AJ413" s="3028">
        <f>VLOOKUP(H411,AT366:AU368,2,FALSE)</f>
        <v>3</v>
      </c>
      <c r="AK413" s="3030"/>
      <c r="AL413" s="1004"/>
      <c r="AN413" s="1000"/>
      <c r="AO413" s="1001" t="s">
        <v>625</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724</v>
      </c>
      <c r="AP414" s="942">
        <v>3</v>
      </c>
    </row>
    <row r="415" spans="1:42" s="942" customFormat="1" ht="12.75" customHeight="1">
      <c r="B415" s="926"/>
      <c r="C415" s="985" t="s">
        <v>1694</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541</v>
      </c>
      <c r="AP415" s="942">
        <v>2</v>
      </c>
    </row>
    <row r="416" spans="1:42" s="942" customFormat="1" ht="12.75" customHeight="1">
      <c r="B416" s="926"/>
      <c r="C416" s="985"/>
      <c r="D416" s="1129" t="s">
        <v>1695</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724</v>
      </c>
      <c r="E418" s="3046" t="s">
        <v>1696</v>
      </c>
      <c r="F418" s="3046"/>
      <c r="G418" s="3046"/>
      <c r="H418" s="3046"/>
      <c r="I418" s="3046"/>
      <c r="J418" s="3046"/>
      <c r="K418" s="3046"/>
      <c r="L418" s="3046"/>
      <c r="M418" s="3046"/>
      <c r="N418" s="3046"/>
      <c r="O418" s="3046"/>
      <c r="P418" s="3046"/>
      <c r="Q418" s="3046"/>
      <c r="R418" s="3046"/>
      <c r="S418" s="3046"/>
      <c r="T418" s="3046"/>
      <c r="U418" s="3046"/>
      <c r="V418" s="3046"/>
      <c r="W418" s="3046"/>
      <c r="X418" s="3046"/>
      <c r="Y418" s="3046"/>
      <c r="Z418" s="3046"/>
      <c r="AA418" s="3046"/>
      <c r="AB418" s="3046"/>
      <c r="AC418" s="3046"/>
      <c r="AD418" s="926"/>
      <c r="AE418" s="926"/>
      <c r="AF418" s="3145" t="s">
        <v>1646</v>
      </c>
      <c r="AG418" s="3145"/>
      <c r="AH418" s="3145"/>
      <c r="AI418" s="3145"/>
      <c r="AJ418" s="3145"/>
      <c r="AK418" s="3145"/>
      <c r="AL418" s="3145"/>
      <c r="AN418" s="999"/>
    </row>
    <row r="419" spans="1:42" s="942" customFormat="1" ht="12.75" customHeight="1">
      <c r="B419" s="926"/>
      <c r="C419" s="985"/>
      <c r="D419" s="926"/>
      <c r="E419" s="3046"/>
      <c r="F419" s="3046"/>
      <c r="G419" s="3046"/>
      <c r="H419" s="3046"/>
      <c r="I419" s="3046"/>
      <c r="J419" s="3046"/>
      <c r="K419" s="3046"/>
      <c r="L419" s="3046"/>
      <c r="M419" s="3046"/>
      <c r="N419" s="3046"/>
      <c r="O419" s="3046"/>
      <c r="P419" s="3046"/>
      <c r="Q419" s="3046"/>
      <c r="R419" s="3046"/>
      <c r="S419" s="3046"/>
      <c r="T419" s="3046"/>
      <c r="U419" s="3046"/>
      <c r="V419" s="3046"/>
      <c r="W419" s="3046"/>
      <c r="X419" s="3046"/>
      <c r="Y419" s="3046"/>
      <c r="Z419" s="3046"/>
      <c r="AA419" s="3046"/>
      <c r="AB419" s="3046"/>
      <c r="AC419" s="3046"/>
      <c r="AD419" s="926"/>
      <c r="AE419" s="926"/>
      <c r="AF419" s="926"/>
      <c r="AG419" s="926"/>
      <c r="AH419" s="926"/>
      <c r="AI419" s="926"/>
      <c r="AJ419" s="926"/>
      <c r="AK419" s="926"/>
      <c r="AL419" s="926"/>
      <c r="AN419" s="999"/>
    </row>
    <row r="420" spans="1:42" s="942" customFormat="1" ht="12.75" customHeight="1">
      <c r="B420" s="926"/>
      <c r="C420" s="985"/>
      <c r="D420" s="1105"/>
      <c r="E420" s="3046"/>
      <c r="F420" s="3046"/>
      <c r="G420" s="3046"/>
      <c r="H420" s="3046"/>
      <c r="I420" s="3046"/>
      <c r="J420" s="3046"/>
      <c r="K420" s="3046"/>
      <c r="L420" s="3046"/>
      <c r="M420" s="3046"/>
      <c r="N420" s="3046"/>
      <c r="O420" s="3046"/>
      <c r="P420" s="3046"/>
      <c r="Q420" s="3046"/>
      <c r="R420" s="3046"/>
      <c r="S420" s="3046"/>
      <c r="T420" s="3046"/>
      <c r="U420" s="3046"/>
      <c r="V420" s="3046"/>
      <c r="W420" s="3046"/>
      <c r="X420" s="3046"/>
      <c r="Y420" s="3046"/>
      <c r="Z420" s="3046"/>
      <c r="AA420" s="3046"/>
      <c r="AB420" s="3046"/>
      <c r="AC420" s="3046"/>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541</v>
      </c>
      <c r="E422" s="3046" t="s">
        <v>1697</v>
      </c>
      <c r="F422" s="3046"/>
      <c r="G422" s="3046"/>
      <c r="H422" s="3046"/>
      <c r="I422" s="3046"/>
      <c r="J422" s="3046"/>
      <c r="K422" s="3046"/>
      <c r="L422" s="3046"/>
      <c r="M422" s="3046"/>
      <c r="N422" s="3046"/>
      <c r="O422" s="3046"/>
      <c r="P422" s="3046"/>
      <c r="Q422" s="3046"/>
      <c r="R422" s="3046"/>
      <c r="S422" s="3046"/>
      <c r="T422" s="3046"/>
      <c r="U422" s="3046"/>
      <c r="V422" s="3046"/>
      <c r="W422" s="3046"/>
      <c r="X422" s="3046"/>
      <c r="Y422" s="3046"/>
      <c r="Z422" s="3046"/>
      <c r="AA422" s="3046"/>
      <c r="AB422" s="3046"/>
      <c r="AC422" s="3046"/>
      <c r="AD422" s="926"/>
      <c r="AE422" s="926"/>
      <c r="AF422" s="3145" t="s">
        <v>1675</v>
      </c>
      <c r="AG422" s="3145"/>
      <c r="AH422" s="3145"/>
      <c r="AI422" s="3145"/>
      <c r="AJ422" s="3145"/>
      <c r="AK422" s="3145"/>
      <c r="AL422" s="3145"/>
      <c r="AN422" s="999"/>
    </row>
    <row r="423" spans="1:42" s="942" customFormat="1" ht="12.75" customHeight="1">
      <c r="B423" s="926"/>
      <c r="C423" s="985"/>
      <c r="D423" s="926"/>
      <c r="E423" s="3046"/>
      <c r="F423" s="3046"/>
      <c r="G423" s="3046"/>
      <c r="H423" s="3046"/>
      <c r="I423" s="3046"/>
      <c r="J423" s="3046"/>
      <c r="K423" s="3046"/>
      <c r="L423" s="3046"/>
      <c r="M423" s="3046"/>
      <c r="N423" s="3046"/>
      <c r="O423" s="3046"/>
      <c r="P423" s="3046"/>
      <c r="Q423" s="3046"/>
      <c r="R423" s="3046"/>
      <c r="S423" s="3046"/>
      <c r="T423" s="3046"/>
      <c r="U423" s="3046"/>
      <c r="V423" s="3046"/>
      <c r="W423" s="3046"/>
      <c r="X423" s="3046"/>
      <c r="Y423" s="3046"/>
      <c r="Z423" s="3046"/>
      <c r="AA423" s="3046"/>
      <c r="AB423" s="3046"/>
      <c r="AC423" s="3046"/>
      <c r="AD423" s="926"/>
      <c r="AE423" s="926"/>
      <c r="AF423" s="926"/>
      <c r="AG423" s="926"/>
      <c r="AH423" s="926"/>
      <c r="AI423" s="926"/>
      <c r="AJ423" s="926"/>
      <c r="AK423" s="926"/>
      <c r="AL423" s="926"/>
      <c r="AN423" s="999"/>
    </row>
    <row r="424" spans="1:42" s="942" customFormat="1" ht="15" customHeight="1">
      <c r="B424" s="926"/>
      <c r="C424" s="985"/>
      <c r="D424" s="1105"/>
      <c r="E424" s="3046"/>
      <c r="F424" s="3046"/>
      <c r="G424" s="3046"/>
      <c r="H424" s="3046"/>
      <c r="I424" s="3046"/>
      <c r="J424" s="3046"/>
      <c r="K424" s="3046"/>
      <c r="L424" s="3046"/>
      <c r="M424" s="3046"/>
      <c r="N424" s="3046"/>
      <c r="O424" s="3046"/>
      <c r="P424" s="3046"/>
      <c r="Q424" s="3046"/>
      <c r="R424" s="3046"/>
      <c r="S424" s="3046"/>
      <c r="T424" s="3046"/>
      <c r="U424" s="3046"/>
      <c r="V424" s="3046"/>
      <c r="W424" s="3046"/>
      <c r="X424" s="3046"/>
      <c r="Y424" s="3046"/>
      <c r="Z424" s="3046"/>
      <c r="AA424" s="3046"/>
      <c r="AB424" s="3046"/>
      <c r="AC424" s="3046"/>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283</v>
      </c>
      <c r="E426" s="3046" t="s">
        <v>1698</v>
      </c>
      <c r="F426" s="3046"/>
      <c r="G426" s="3046"/>
      <c r="H426" s="3046"/>
      <c r="I426" s="3046"/>
      <c r="J426" s="3046"/>
      <c r="K426" s="3046"/>
      <c r="L426" s="3046"/>
      <c r="M426" s="3046"/>
      <c r="N426" s="3046"/>
      <c r="O426" s="3046"/>
      <c r="P426" s="3046"/>
      <c r="Q426" s="3046"/>
      <c r="R426" s="3046"/>
      <c r="S426" s="3046"/>
      <c r="T426" s="3046"/>
      <c r="U426" s="3046"/>
      <c r="V426" s="3046"/>
      <c r="W426" s="3046"/>
      <c r="X426" s="3046"/>
      <c r="Y426" s="3046"/>
      <c r="Z426" s="3046"/>
      <c r="AA426" s="3046"/>
      <c r="AB426" s="3046"/>
      <c r="AC426" s="3046"/>
      <c r="AD426" s="926"/>
      <c r="AE426" s="926"/>
      <c r="AF426" s="3145" t="s">
        <v>1620</v>
      </c>
      <c r="AG426" s="3145"/>
      <c r="AH426" s="3145"/>
      <c r="AI426" s="3145"/>
      <c r="AJ426" s="3145"/>
      <c r="AK426" s="3145"/>
      <c r="AL426" s="3145"/>
      <c r="AN426" s="999"/>
    </row>
    <row r="427" spans="1:42" s="942" customFormat="1" ht="12.75" customHeight="1">
      <c r="A427" s="1059"/>
      <c r="B427" s="1022"/>
      <c r="C427" s="1639"/>
      <c r="D427" s="926"/>
      <c r="E427" s="3046"/>
      <c r="F427" s="3046"/>
      <c r="G427" s="3046"/>
      <c r="H427" s="3046"/>
      <c r="I427" s="3046"/>
      <c r="J427" s="3046"/>
      <c r="K427" s="3046"/>
      <c r="L427" s="3046"/>
      <c r="M427" s="3046"/>
      <c r="N427" s="3046"/>
      <c r="O427" s="3046"/>
      <c r="P427" s="3046"/>
      <c r="Q427" s="3046"/>
      <c r="R427" s="3046"/>
      <c r="S427" s="3046"/>
      <c r="T427" s="3046"/>
      <c r="U427" s="3046"/>
      <c r="V427" s="3046"/>
      <c r="W427" s="3046"/>
      <c r="X427" s="3046"/>
      <c r="Y427" s="3046"/>
      <c r="Z427" s="3046"/>
      <c r="AA427" s="3046"/>
      <c r="AB427" s="3046"/>
      <c r="AC427" s="3046"/>
      <c r="AD427" s="926"/>
      <c r="AE427" s="3145"/>
      <c r="AF427" s="3145"/>
      <c r="AG427" s="3145"/>
      <c r="AH427" s="3145"/>
      <c r="AI427" s="3145"/>
      <c r="AJ427" s="3145"/>
      <c r="AK427" s="3145"/>
      <c r="AL427" s="1595"/>
      <c r="AM427" s="1025"/>
      <c r="AN427" s="999"/>
      <c r="AO427" s="942" t="s">
        <v>625</v>
      </c>
      <c r="AP427" s="1119">
        <v>0</v>
      </c>
    </row>
    <row r="428" spans="1:42" s="942" customFormat="1" ht="12.75" customHeight="1">
      <c r="A428" s="1125"/>
      <c r="B428" s="926"/>
      <c r="C428" s="926"/>
      <c r="D428" s="1105"/>
      <c r="E428" s="3046"/>
      <c r="F428" s="3046"/>
      <c r="G428" s="3046"/>
      <c r="H428" s="3046"/>
      <c r="I428" s="3046"/>
      <c r="J428" s="3046"/>
      <c r="K428" s="3046"/>
      <c r="L428" s="3046"/>
      <c r="M428" s="3046"/>
      <c r="N428" s="3046"/>
      <c r="O428" s="3046"/>
      <c r="P428" s="3046"/>
      <c r="Q428" s="3046"/>
      <c r="R428" s="3046"/>
      <c r="S428" s="3046"/>
      <c r="T428" s="3046"/>
      <c r="U428" s="3046"/>
      <c r="V428" s="3046"/>
      <c r="W428" s="3046"/>
      <c r="X428" s="3046"/>
      <c r="Y428" s="3046"/>
      <c r="Z428" s="3046"/>
      <c r="AA428" s="3046"/>
      <c r="AB428" s="3046"/>
      <c r="AC428" s="3046"/>
      <c r="AD428" s="926"/>
      <c r="AE428" s="926"/>
      <c r="AF428" s="926"/>
      <c r="AG428" s="1005"/>
      <c r="AH428" s="1005"/>
      <c r="AI428" s="1005"/>
      <c r="AJ428" s="1005"/>
      <c r="AK428" s="1005"/>
      <c r="AL428" s="1005"/>
      <c r="AM428" s="1025"/>
      <c r="AN428" s="999"/>
      <c r="AO428" s="1117" t="s">
        <v>724</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541</v>
      </c>
      <c r="AP429" s="942">
        <v>2</v>
      </c>
    </row>
    <row r="430" spans="1:42" s="942" customFormat="1" ht="12.75" customHeight="1">
      <c r="A430" s="1114"/>
      <c r="B430" s="1022"/>
      <c r="C430" s="1655"/>
      <c r="D430" s="1105" t="s">
        <v>1673</v>
      </c>
      <c r="E430" s="3046" t="s">
        <v>1699</v>
      </c>
      <c r="F430" s="3046"/>
      <c r="G430" s="3046"/>
      <c r="H430" s="3046"/>
      <c r="I430" s="3046"/>
      <c r="J430" s="3046"/>
      <c r="K430" s="3046"/>
      <c r="L430" s="3046"/>
      <c r="M430" s="3046"/>
      <c r="N430" s="3046"/>
      <c r="O430" s="3046"/>
      <c r="P430" s="3046"/>
      <c r="Q430" s="3046"/>
      <c r="R430" s="3046"/>
      <c r="S430" s="3046"/>
      <c r="T430" s="3046"/>
      <c r="U430" s="3046"/>
      <c r="V430" s="3046"/>
      <c r="W430" s="3046"/>
      <c r="X430" s="3046"/>
      <c r="Y430" s="3046"/>
      <c r="Z430" s="3046"/>
      <c r="AA430" s="3046"/>
      <c r="AB430" s="3046"/>
      <c r="AC430" s="3046"/>
      <c r="AD430" s="926"/>
      <c r="AE430" s="926"/>
      <c r="AF430" s="3145" t="s">
        <v>1675</v>
      </c>
      <c r="AG430" s="3145"/>
      <c r="AH430" s="3145"/>
      <c r="AI430" s="3145"/>
      <c r="AJ430" s="3145"/>
      <c r="AK430" s="3145"/>
      <c r="AL430" s="3145"/>
      <c r="AN430" s="999"/>
    </row>
    <row r="431" spans="1:42" s="942" customFormat="1" ht="12.75" customHeight="1">
      <c r="A431" s="1114"/>
      <c r="B431" s="1022"/>
      <c r="C431" s="1655"/>
      <c r="D431" s="1105"/>
      <c r="E431" s="3046"/>
      <c r="F431" s="3046"/>
      <c r="G431" s="3046"/>
      <c r="H431" s="3046"/>
      <c r="I431" s="3046"/>
      <c r="J431" s="3046"/>
      <c r="K431" s="3046"/>
      <c r="L431" s="3046"/>
      <c r="M431" s="3046"/>
      <c r="N431" s="3046"/>
      <c r="O431" s="3046"/>
      <c r="P431" s="3046"/>
      <c r="Q431" s="3046"/>
      <c r="R431" s="3046"/>
      <c r="S431" s="3046"/>
      <c r="T431" s="3046"/>
      <c r="U431" s="3046"/>
      <c r="V431" s="3046"/>
      <c r="W431" s="3046"/>
      <c r="X431" s="3046"/>
      <c r="Y431" s="3046"/>
      <c r="Z431" s="3046"/>
      <c r="AA431" s="3046"/>
      <c r="AB431" s="3046"/>
      <c r="AC431" s="3046"/>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046"/>
      <c r="F432" s="3046"/>
      <c r="G432" s="3046"/>
      <c r="H432" s="3046"/>
      <c r="I432" s="3046"/>
      <c r="J432" s="3046"/>
      <c r="K432" s="3046"/>
      <c r="L432" s="3046"/>
      <c r="M432" s="3046"/>
      <c r="N432" s="3046"/>
      <c r="O432" s="3046"/>
      <c r="P432" s="3046"/>
      <c r="Q432" s="3046"/>
      <c r="R432" s="3046"/>
      <c r="S432" s="3046"/>
      <c r="T432" s="3046"/>
      <c r="U432" s="3046"/>
      <c r="V432" s="3046"/>
      <c r="W432" s="3046"/>
      <c r="X432" s="3046"/>
      <c r="Y432" s="3046"/>
      <c r="Z432" s="3046"/>
      <c r="AA432" s="3046"/>
      <c r="AB432" s="3046"/>
      <c r="AC432" s="3046"/>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1674</v>
      </c>
      <c r="E434" s="3046" t="s">
        <v>1700</v>
      </c>
      <c r="F434" s="3046"/>
      <c r="G434" s="3046"/>
      <c r="H434" s="3046"/>
      <c r="I434" s="3046"/>
      <c r="J434" s="3046"/>
      <c r="K434" s="3046"/>
      <c r="L434" s="3046"/>
      <c r="M434" s="3046"/>
      <c r="N434" s="3046"/>
      <c r="O434" s="3046"/>
      <c r="P434" s="3046"/>
      <c r="Q434" s="3046"/>
      <c r="R434" s="3046"/>
      <c r="S434" s="3046"/>
      <c r="T434" s="3046"/>
      <c r="U434" s="3046"/>
      <c r="V434" s="3046"/>
      <c r="W434" s="3046"/>
      <c r="X434" s="3046"/>
      <c r="Y434" s="3046"/>
      <c r="Z434" s="3046"/>
      <c r="AA434" s="3046"/>
      <c r="AB434" s="3046"/>
      <c r="AC434" s="3046"/>
      <c r="AD434" s="926"/>
      <c r="AE434" s="926"/>
      <c r="AF434" s="3145" t="s">
        <v>1620</v>
      </c>
      <c r="AG434" s="3145"/>
      <c r="AH434" s="3145"/>
      <c r="AI434" s="3145"/>
      <c r="AJ434" s="3145"/>
      <c r="AK434" s="3145"/>
      <c r="AL434" s="3145"/>
      <c r="AM434" s="1064"/>
      <c r="AN434" s="999"/>
    </row>
    <row r="435" spans="1:42" s="942" customFormat="1" ht="12.75" customHeight="1">
      <c r="A435" s="1059"/>
      <c r="B435" s="1022"/>
      <c r="C435" s="1639"/>
      <c r="D435" s="1105"/>
      <c r="E435" s="3046"/>
      <c r="F435" s="3046"/>
      <c r="G435" s="3046"/>
      <c r="H435" s="3046"/>
      <c r="I435" s="3046"/>
      <c r="J435" s="3046"/>
      <c r="K435" s="3046"/>
      <c r="L435" s="3046"/>
      <c r="M435" s="3046"/>
      <c r="N435" s="3046"/>
      <c r="O435" s="3046"/>
      <c r="P435" s="3046"/>
      <c r="Q435" s="3046"/>
      <c r="R435" s="3046"/>
      <c r="S435" s="3046"/>
      <c r="T435" s="3046"/>
      <c r="U435" s="3046"/>
      <c r="V435" s="3046"/>
      <c r="W435" s="3046"/>
      <c r="X435" s="3046"/>
      <c r="Y435" s="3046"/>
      <c r="Z435" s="3046"/>
      <c r="AA435" s="3046"/>
      <c r="AB435" s="3046"/>
      <c r="AC435" s="3046"/>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046"/>
      <c r="F436" s="3046"/>
      <c r="G436" s="3046"/>
      <c r="H436" s="3046"/>
      <c r="I436" s="3046"/>
      <c r="J436" s="3046"/>
      <c r="K436" s="3046"/>
      <c r="L436" s="3046"/>
      <c r="M436" s="3046"/>
      <c r="N436" s="3046"/>
      <c r="O436" s="3046"/>
      <c r="P436" s="3046"/>
      <c r="Q436" s="3046"/>
      <c r="R436" s="3046"/>
      <c r="S436" s="3046"/>
      <c r="T436" s="3046"/>
      <c r="U436" s="3046"/>
      <c r="V436" s="3046"/>
      <c r="W436" s="3046"/>
      <c r="X436" s="3046"/>
      <c r="Y436" s="3046"/>
      <c r="Z436" s="3046"/>
      <c r="AA436" s="3046"/>
      <c r="AB436" s="3046"/>
      <c r="AC436" s="3046"/>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1685</v>
      </c>
      <c r="E438" s="3046" t="s">
        <v>1701</v>
      </c>
      <c r="F438" s="3046"/>
      <c r="G438" s="3046"/>
      <c r="H438" s="3046"/>
      <c r="I438" s="3046"/>
      <c r="J438" s="3046"/>
      <c r="K438" s="3046"/>
      <c r="L438" s="3046"/>
      <c r="M438" s="3046"/>
      <c r="N438" s="3046"/>
      <c r="O438" s="3046"/>
      <c r="P438" s="3046"/>
      <c r="Q438" s="3046"/>
      <c r="R438" s="3046"/>
      <c r="S438" s="3046"/>
      <c r="T438" s="3046"/>
      <c r="U438" s="3046"/>
      <c r="V438" s="3046"/>
      <c r="W438" s="3046"/>
      <c r="X438" s="3046"/>
      <c r="Y438" s="3046"/>
      <c r="Z438" s="3046"/>
      <c r="AA438" s="3046"/>
      <c r="AB438" s="3046"/>
      <c r="AC438" s="3046"/>
      <c r="AD438" s="926"/>
      <c r="AE438" s="926"/>
      <c r="AF438" s="3145" t="s">
        <v>1684</v>
      </c>
      <c r="AG438" s="3145"/>
      <c r="AH438" s="3145"/>
      <c r="AI438" s="3145"/>
      <c r="AJ438" s="3145"/>
      <c r="AK438" s="3145"/>
      <c r="AL438" s="3145"/>
      <c r="AM438" s="1064"/>
      <c r="AN438" s="999"/>
    </row>
    <row r="439" spans="1:42" s="942" customFormat="1" ht="12.75" customHeight="1">
      <c r="A439" s="1598"/>
      <c r="B439" s="1005"/>
      <c r="C439" s="1636"/>
      <c r="D439" s="1105"/>
      <c r="E439" s="3046"/>
      <c r="F439" s="3046"/>
      <c r="G439" s="3046"/>
      <c r="H439" s="3046"/>
      <c r="I439" s="3046"/>
      <c r="J439" s="3046"/>
      <c r="K439" s="3046"/>
      <c r="L439" s="3046"/>
      <c r="M439" s="3046"/>
      <c r="N439" s="3046"/>
      <c r="O439" s="3046"/>
      <c r="P439" s="3046"/>
      <c r="Q439" s="3046"/>
      <c r="R439" s="3046"/>
      <c r="S439" s="3046"/>
      <c r="T439" s="3046"/>
      <c r="U439" s="3046"/>
      <c r="V439" s="3046"/>
      <c r="W439" s="3046"/>
      <c r="X439" s="3046"/>
      <c r="Y439" s="3046"/>
      <c r="Z439" s="3046"/>
      <c r="AA439" s="3046"/>
      <c r="AB439" s="3046"/>
      <c r="AC439" s="3046"/>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046"/>
      <c r="F440" s="3046"/>
      <c r="G440" s="3046"/>
      <c r="H440" s="3046"/>
      <c r="I440" s="3046"/>
      <c r="J440" s="3046"/>
      <c r="K440" s="3046"/>
      <c r="L440" s="3046"/>
      <c r="M440" s="3046"/>
      <c r="N440" s="3046"/>
      <c r="O440" s="3046"/>
      <c r="P440" s="3046"/>
      <c r="Q440" s="3046"/>
      <c r="R440" s="3046"/>
      <c r="S440" s="3046"/>
      <c r="T440" s="3046"/>
      <c r="U440" s="3046"/>
      <c r="V440" s="3046"/>
      <c r="W440" s="3046"/>
      <c r="X440" s="3046"/>
      <c r="Y440" s="3046"/>
      <c r="Z440" s="3046"/>
      <c r="AA440" s="3046"/>
      <c r="AB440" s="3046"/>
      <c r="AC440" s="3046"/>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625</v>
      </c>
      <c r="AP441" s="1130">
        <v>0</v>
      </c>
    </row>
    <row r="442" spans="1:42" s="942" customFormat="1" ht="12.75" customHeight="1">
      <c r="A442" s="1125"/>
      <c r="B442" s="1005"/>
      <c r="C442" s="1636"/>
      <c r="D442" s="1105" t="s">
        <v>1687</v>
      </c>
      <c r="E442" s="3046" t="s">
        <v>1702</v>
      </c>
      <c r="F442" s="3046"/>
      <c r="G442" s="3046"/>
      <c r="H442" s="3046"/>
      <c r="I442" s="3046"/>
      <c r="J442" s="3046"/>
      <c r="K442" s="3046"/>
      <c r="L442" s="3046"/>
      <c r="M442" s="3046"/>
      <c r="N442" s="3046"/>
      <c r="O442" s="3046"/>
      <c r="P442" s="3046"/>
      <c r="Q442" s="3046"/>
      <c r="R442" s="3046"/>
      <c r="S442" s="3046"/>
      <c r="T442" s="3046"/>
      <c r="U442" s="3046"/>
      <c r="V442" s="3046"/>
      <c r="W442" s="3046"/>
      <c r="X442" s="3046"/>
      <c r="Y442" s="3046"/>
      <c r="Z442" s="3046"/>
      <c r="AA442" s="3046"/>
      <c r="AB442" s="3046"/>
      <c r="AC442" s="3046"/>
      <c r="AD442" s="926"/>
      <c r="AE442" s="926"/>
      <c r="AF442" s="3145" t="s">
        <v>1703</v>
      </c>
      <c r="AG442" s="3145"/>
      <c r="AH442" s="3145"/>
      <c r="AI442" s="3145"/>
      <c r="AJ442" s="3145"/>
      <c r="AK442" s="3145"/>
      <c r="AL442" s="3145"/>
      <c r="AM442" s="1064"/>
      <c r="AN442" s="999"/>
      <c r="AO442" s="1117" t="s">
        <v>724</v>
      </c>
      <c r="AP442" s="942">
        <v>3</v>
      </c>
    </row>
    <row r="443" spans="1:42" s="942" customFormat="1" ht="12.75" customHeight="1">
      <c r="A443" s="1598"/>
      <c r="B443" s="1005"/>
      <c r="C443" s="1636"/>
      <c r="D443" s="1105"/>
      <c r="E443" s="3046"/>
      <c r="F443" s="3046"/>
      <c r="G443" s="3046"/>
      <c r="H443" s="3046"/>
      <c r="I443" s="3046"/>
      <c r="J443" s="3046"/>
      <c r="K443" s="3046"/>
      <c r="L443" s="3046"/>
      <c r="M443" s="3046"/>
      <c r="N443" s="3046"/>
      <c r="O443" s="3046"/>
      <c r="P443" s="3046"/>
      <c r="Q443" s="3046"/>
      <c r="R443" s="3046"/>
      <c r="S443" s="3046"/>
      <c r="T443" s="3046"/>
      <c r="U443" s="3046"/>
      <c r="V443" s="3046"/>
      <c r="W443" s="3046"/>
      <c r="X443" s="3046"/>
      <c r="Y443" s="3046"/>
      <c r="Z443" s="3046"/>
      <c r="AA443" s="3046"/>
      <c r="AB443" s="3046"/>
      <c r="AC443" s="3046"/>
      <c r="AD443" s="926"/>
      <c r="AE443" s="926"/>
      <c r="AF443" s="1595"/>
      <c r="AG443" s="1595"/>
      <c r="AH443" s="1595"/>
      <c r="AI443" s="1595"/>
      <c r="AJ443" s="1595"/>
      <c r="AK443" s="1595"/>
      <c r="AL443" s="1595"/>
      <c r="AM443" s="1064"/>
      <c r="AN443" s="999"/>
      <c r="AO443" s="1117" t="s">
        <v>541</v>
      </c>
      <c r="AP443" s="942">
        <v>2</v>
      </c>
    </row>
    <row r="444" spans="1:42" s="942" customFormat="1" ht="12.75" customHeight="1">
      <c r="A444" s="1125"/>
      <c r="B444" s="1005"/>
      <c r="C444" s="1636"/>
      <c r="D444" s="1105"/>
      <c r="E444" s="3046"/>
      <c r="F444" s="3046"/>
      <c r="G444" s="3046"/>
      <c r="H444" s="3046"/>
      <c r="I444" s="3046"/>
      <c r="J444" s="3046"/>
      <c r="K444" s="3046"/>
      <c r="L444" s="3046"/>
      <c r="M444" s="3046"/>
      <c r="N444" s="3046"/>
      <c r="O444" s="3046"/>
      <c r="P444" s="3046"/>
      <c r="Q444" s="3046"/>
      <c r="R444" s="3046"/>
      <c r="S444" s="3046"/>
      <c r="T444" s="3046"/>
      <c r="U444" s="3046"/>
      <c r="V444" s="3046"/>
      <c r="W444" s="3046"/>
      <c r="X444" s="3046"/>
      <c r="Y444" s="3046"/>
      <c r="Z444" s="3046"/>
      <c r="AA444" s="3046"/>
      <c r="AB444" s="3046"/>
      <c r="AC444" s="3046"/>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1676</v>
      </c>
      <c r="E446" s="1642"/>
      <c r="F446" s="1642"/>
      <c r="G446" s="1642"/>
      <c r="H446" s="3045" t="s">
        <v>724</v>
      </c>
      <c r="I446" s="3045"/>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1704</v>
      </c>
      <c r="AJ448" s="3028">
        <f>VLOOKUP($H$446,$AO$394:$AP$401,2,FALSE)</f>
        <v>5</v>
      </c>
      <c r="AK448" s="3030"/>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1705</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724</v>
      </c>
      <c r="E452" s="3046" t="s">
        <v>2186</v>
      </c>
      <c r="F452" s="3046"/>
      <c r="G452" s="3046"/>
      <c r="H452" s="3046"/>
      <c r="I452" s="3046"/>
      <c r="J452" s="3046"/>
      <c r="K452" s="3046"/>
      <c r="L452" s="3046"/>
      <c r="M452" s="3046"/>
      <c r="N452" s="3046"/>
      <c r="O452" s="3046"/>
      <c r="P452" s="3046"/>
      <c r="Q452" s="3046"/>
      <c r="R452" s="3046"/>
      <c r="S452" s="3046"/>
      <c r="T452" s="3046"/>
      <c r="U452" s="3046"/>
      <c r="V452" s="3046"/>
      <c r="W452" s="3046"/>
      <c r="X452" s="3046"/>
      <c r="Y452" s="3046"/>
      <c r="Z452" s="3046"/>
      <c r="AA452" s="3046"/>
      <c r="AB452" s="3046"/>
      <c r="AC452" s="926"/>
      <c r="AD452" s="926"/>
      <c r="AE452" s="929"/>
      <c r="AF452" s="3145" t="s">
        <v>1620</v>
      </c>
      <c r="AG452" s="3145"/>
      <c r="AH452" s="3145"/>
      <c r="AI452" s="3145"/>
      <c r="AJ452" s="3145"/>
      <c r="AK452" s="3145"/>
      <c r="AL452" s="3145"/>
      <c r="AM452" s="1025"/>
      <c r="AN452" s="1000"/>
    </row>
    <row r="453" spans="1:42" s="1001" customFormat="1" ht="12.75" customHeight="1">
      <c r="A453" s="1059"/>
      <c r="B453" s="1022"/>
      <c r="C453" s="1648"/>
      <c r="D453" s="1105"/>
      <c r="E453" s="3046"/>
      <c r="F453" s="3046"/>
      <c r="G453" s="3046"/>
      <c r="H453" s="3046"/>
      <c r="I453" s="3046"/>
      <c r="J453" s="3046"/>
      <c r="K453" s="3046"/>
      <c r="L453" s="3046"/>
      <c r="M453" s="3046"/>
      <c r="N453" s="3046"/>
      <c r="O453" s="3046"/>
      <c r="P453" s="3046"/>
      <c r="Q453" s="3046"/>
      <c r="R453" s="3046"/>
      <c r="S453" s="3046"/>
      <c r="T453" s="3046"/>
      <c r="U453" s="3046"/>
      <c r="V453" s="3046"/>
      <c r="W453" s="3046"/>
      <c r="X453" s="3046"/>
      <c r="Y453" s="3046"/>
      <c r="Z453" s="3046"/>
      <c r="AA453" s="3046"/>
      <c r="AB453" s="3046"/>
      <c r="AC453" s="926"/>
      <c r="AD453" s="926"/>
      <c r="AE453" s="1034"/>
      <c r="AF453" s="929"/>
      <c r="AG453" s="929"/>
      <c r="AH453" s="929"/>
      <c r="AI453" s="929"/>
      <c r="AJ453" s="929"/>
      <c r="AK453" s="929"/>
      <c r="AL453" s="929"/>
      <c r="AM453" s="1025"/>
      <c r="AN453" s="1000"/>
      <c r="AO453" s="3149"/>
      <c r="AP453" s="3149"/>
    </row>
    <row r="454" spans="1:42" s="1001" customFormat="1" ht="12.75" customHeight="1">
      <c r="A454" s="1059"/>
      <c r="B454" s="1022"/>
      <c r="C454" s="1648"/>
      <c r="D454" s="1105"/>
      <c r="E454" s="3046"/>
      <c r="F454" s="3046"/>
      <c r="G454" s="3046"/>
      <c r="H454" s="3046"/>
      <c r="I454" s="3046"/>
      <c r="J454" s="3046"/>
      <c r="K454" s="3046"/>
      <c r="L454" s="3046"/>
      <c r="M454" s="3046"/>
      <c r="N454" s="3046"/>
      <c r="O454" s="3046"/>
      <c r="P454" s="3046"/>
      <c r="Q454" s="3046"/>
      <c r="R454" s="3046"/>
      <c r="S454" s="3046"/>
      <c r="T454" s="3046"/>
      <c r="U454" s="3046"/>
      <c r="V454" s="3046"/>
      <c r="W454" s="3046"/>
      <c r="X454" s="3046"/>
      <c r="Y454" s="3046"/>
      <c r="Z454" s="3046"/>
      <c r="AA454" s="3046"/>
      <c r="AB454" s="3046"/>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046"/>
      <c r="F455" s="3046"/>
      <c r="G455" s="3046"/>
      <c r="H455" s="3046"/>
      <c r="I455" s="3046"/>
      <c r="J455" s="3046"/>
      <c r="K455" s="3046"/>
      <c r="L455" s="3046"/>
      <c r="M455" s="3046"/>
      <c r="N455" s="3046"/>
      <c r="O455" s="3046"/>
      <c r="P455" s="3046"/>
      <c r="Q455" s="3046"/>
      <c r="R455" s="3046"/>
      <c r="S455" s="3046"/>
      <c r="T455" s="3046"/>
      <c r="U455" s="3046"/>
      <c r="V455" s="3046"/>
      <c r="W455" s="3046"/>
      <c r="X455" s="3046"/>
      <c r="Y455" s="3046"/>
      <c r="Z455" s="3046"/>
      <c r="AA455" s="3046"/>
      <c r="AB455" s="3046"/>
      <c r="AC455" s="926"/>
      <c r="AD455" s="926"/>
      <c r="AE455" s="1034"/>
      <c r="AF455" s="1034"/>
      <c r="AG455" s="1034"/>
      <c r="AH455" s="1034"/>
      <c r="AI455" s="1034"/>
      <c r="AJ455" s="1034"/>
      <c r="AK455" s="1034"/>
      <c r="AL455" s="1034"/>
      <c r="AM455" s="1025"/>
      <c r="AN455" s="999"/>
      <c r="AO455" s="942" t="s">
        <v>625</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724</v>
      </c>
      <c r="AP456" s="942">
        <v>2</v>
      </c>
    </row>
    <row r="457" spans="1:42" s="942" customFormat="1" ht="12.75" customHeight="1">
      <c r="A457" s="1059"/>
      <c r="B457" s="1005"/>
      <c r="C457" s="1636"/>
      <c r="D457" s="1105" t="s">
        <v>541</v>
      </c>
      <c r="E457" s="3046" t="s">
        <v>2188</v>
      </c>
      <c r="F457" s="3046"/>
      <c r="G457" s="3046"/>
      <c r="H457" s="3046"/>
      <c r="I457" s="3046"/>
      <c r="J457" s="3046"/>
      <c r="K457" s="3046"/>
      <c r="L457" s="3046"/>
      <c r="M457" s="3046"/>
      <c r="N457" s="3046"/>
      <c r="O457" s="3046"/>
      <c r="P457" s="3046"/>
      <c r="Q457" s="3046"/>
      <c r="R457" s="3046"/>
      <c r="S457" s="3046"/>
      <c r="T457" s="3046"/>
      <c r="U457" s="3046"/>
      <c r="V457" s="3046"/>
      <c r="W457" s="3046"/>
      <c r="X457" s="3046"/>
      <c r="Y457" s="3046"/>
      <c r="Z457" s="3046"/>
      <c r="AA457" s="3046"/>
      <c r="AB457" s="3046"/>
      <c r="AC457" s="926"/>
      <c r="AD457" s="926"/>
      <c r="AE457" s="926"/>
      <c r="AF457" s="3145" t="s">
        <v>1684</v>
      </c>
      <c r="AG457" s="3145"/>
      <c r="AH457" s="3145"/>
      <c r="AI457" s="3145"/>
      <c r="AJ457" s="3145"/>
      <c r="AK457" s="3145"/>
      <c r="AL457" s="3145"/>
      <c r="AM457" s="1025"/>
      <c r="AN457" s="999"/>
      <c r="AO457" s="1117" t="s">
        <v>541</v>
      </c>
      <c r="AP457" s="942">
        <v>1</v>
      </c>
    </row>
    <row r="458" spans="1:42" s="942" customFormat="1" ht="12" customHeight="1">
      <c r="A458" s="1025"/>
      <c r="B458" s="926"/>
      <c r="C458" s="1656"/>
      <c r="D458" s="926"/>
      <c r="E458" s="3046"/>
      <c r="F458" s="3046"/>
      <c r="G458" s="3046"/>
      <c r="H458" s="3046"/>
      <c r="I458" s="3046"/>
      <c r="J458" s="3046"/>
      <c r="K458" s="3046"/>
      <c r="L458" s="3046"/>
      <c r="M458" s="3046"/>
      <c r="N458" s="3046"/>
      <c r="O458" s="3046"/>
      <c r="P458" s="3046"/>
      <c r="Q458" s="3046"/>
      <c r="R458" s="3046"/>
      <c r="S458" s="3046"/>
      <c r="T458" s="3046"/>
      <c r="U458" s="3046"/>
      <c r="V458" s="3046"/>
      <c r="W458" s="3046"/>
      <c r="X458" s="3046"/>
      <c r="Y458" s="3046"/>
      <c r="Z458" s="3046"/>
      <c r="AA458" s="3046"/>
      <c r="AB458" s="3046"/>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046"/>
      <c r="F459" s="3046"/>
      <c r="G459" s="3046"/>
      <c r="H459" s="3046"/>
      <c r="I459" s="3046"/>
      <c r="J459" s="3046"/>
      <c r="K459" s="3046"/>
      <c r="L459" s="3046"/>
      <c r="M459" s="3046"/>
      <c r="N459" s="3046"/>
      <c r="O459" s="3046"/>
      <c r="P459" s="3046"/>
      <c r="Q459" s="3046"/>
      <c r="R459" s="3046"/>
      <c r="S459" s="3046"/>
      <c r="T459" s="3046"/>
      <c r="U459" s="3046"/>
      <c r="V459" s="3046"/>
      <c r="W459" s="3046"/>
      <c r="X459" s="3046"/>
      <c r="Y459" s="3046"/>
      <c r="Z459" s="3046"/>
      <c r="AA459" s="3046"/>
      <c r="AB459" s="3046"/>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046"/>
      <c r="F460" s="3046"/>
      <c r="G460" s="3046"/>
      <c r="H460" s="3046"/>
      <c r="I460" s="3046"/>
      <c r="J460" s="3046"/>
      <c r="K460" s="3046"/>
      <c r="L460" s="3046"/>
      <c r="M460" s="3046"/>
      <c r="N460" s="3046"/>
      <c r="O460" s="3046"/>
      <c r="P460" s="3046"/>
      <c r="Q460" s="3046"/>
      <c r="R460" s="3046"/>
      <c r="S460" s="3046"/>
      <c r="T460" s="3046"/>
      <c r="U460" s="3046"/>
      <c r="V460" s="3046"/>
      <c r="W460" s="3046"/>
      <c r="X460" s="3046"/>
      <c r="Y460" s="3046"/>
      <c r="Z460" s="3046"/>
      <c r="AA460" s="3046"/>
      <c r="AB460" s="3046"/>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046" t="s">
        <v>2187</v>
      </c>
      <c r="F462" s="3046"/>
      <c r="G462" s="3046"/>
      <c r="H462" s="3046"/>
      <c r="I462" s="3046"/>
      <c r="J462" s="3046"/>
      <c r="K462" s="3046"/>
      <c r="L462" s="3046"/>
      <c r="M462" s="3046"/>
      <c r="N462" s="3046"/>
      <c r="O462" s="3046"/>
      <c r="P462" s="3046"/>
      <c r="Q462" s="3046"/>
      <c r="R462" s="3046"/>
      <c r="S462" s="3046"/>
      <c r="T462" s="3046"/>
      <c r="U462" s="3046"/>
      <c r="V462" s="3046"/>
      <c r="W462" s="3046"/>
      <c r="X462" s="3046"/>
      <c r="Y462" s="3046"/>
      <c r="Z462" s="3046"/>
      <c r="AA462" s="3046"/>
      <c r="AB462" s="3046"/>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046"/>
      <c r="F463" s="3046"/>
      <c r="G463" s="3046"/>
      <c r="H463" s="3046"/>
      <c r="I463" s="3046"/>
      <c r="J463" s="3046"/>
      <c r="K463" s="3046"/>
      <c r="L463" s="3046"/>
      <c r="M463" s="3046"/>
      <c r="N463" s="3046"/>
      <c r="O463" s="3046"/>
      <c r="P463" s="3046"/>
      <c r="Q463" s="3046"/>
      <c r="R463" s="3046"/>
      <c r="S463" s="3046"/>
      <c r="T463" s="3046"/>
      <c r="U463" s="3046"/>
      <c r="V463" s="3046"/>
      <c r="W463" s="3046"/>
      <c r="X463" s="3046"/>
      <c r="Y463" s="3046"/>
      <c r="Z463" s="3046"/>
      <c r="AA463" s="3046"/>
      <c r="AB463" s="3046"/>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046"/>
      <c r="F464" s="3046"/>
      <c r="G464" s="3046"/>
      <c r="H464" s="3046"/>
      <c r="I464" s="3046"/>
      <c r="J464" s="3046"/>
      <c r="K464" s="3046"/>
      <c r="L464" s="3046"/>
      <c r="M464" s="3046"/>
      <c r="N464" s="3046"/>
      <c r="O464" s="3046"/>
      <c r="P464" s="3046"/>
      <c r="Q464" s="3046"/>
      <c r="R464" s="3046"/>
      <c r="S464" s="3046"/>
      <c r="T464" s="3046"/>
      <c r="U464" s="3046"/>
      <c r="V464" s="3046"/>
      <c r="W464" s="3046"/>
      <c r="X464" s="3046"/>
      <c r="Y464" s="3046"/>
      <c r="Z464" s="3046"/>
      <c r="AA464" s="3046"/>
      <c r="AB464" s="3046"/>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1676</v>
      </c>
      <c r="E466" s="1642"/>
      <c r="F466" s="1642"/>
      <c r="G466" s="1642"/>
      <c r="H466" s="3045" t="s">
        <v>724</v>
      </c>
      <c r="I466" s="3045"/>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1706</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1681</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1707</v>
      </c>
      <c r="AJ468" s="3028">
        <f>VLOOKUP($H$466,$AO$413:$AP$415,2,FALSE)</f>
        <v>3</v>
      </c>
      <c r="AK468" s="3030"/>
      <c r="AL468" s="1004"/>
      <c r="AM468" s="1001"/>
      <c r="AN468" s="1132"/>
      <c r="AP468" s="1133" t="s">
        <v>1688</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1708</v>
      </c>
    </row>
    <row r="470" spans="1:43" s="1133" customFormat="1" ht="12.75" customHeight="1">
      <c r="A470" s="1025"/>
      <c r="B470" s="926"/>
      <c r="C470" s="985" t="s">
        <v>1709</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1710</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1711</v>
      </c>
    </row>
    <row r="472" spans="1:43" s="1133" customFormat="1" ht="12.75" customHeight="1">
      <c r="A472" s="1118"/>
      <c r="B472" s="926"/>
      <c r="C472" s="1636"/>
      <c r="D472" s="1105" t="s">
        <v>724</v>
      </c>
      <c r="E472" s="3147" t="s">
        <v>2191</v>
      </c>
      <c r="F472" s="3147"/>
      <c r="G472" s="3147"/>
      <c r="H472" s="3147"/>
      <c r="I472" s="3147"/>
      <c r="J472" s="3147"/>
      <c r="K472" s="3147"/>
      <c r="L472" s="3147"/>
      <c r="M472" s="3147"/>
      <c r="N472" s="3147"/>
      <c r="O472" s="3147"/>
      <c r="P472" s="3147"/>
      <c r="Q472" s="3147"/>
      <c r="R472" s="3147"/>
      <c r="S472" s="3147"/>
      <c r="T472" s="3147"/>
      <c r="U472" s="3147"/>
      <c r="V472" s="3147"/>
      <c r="W472" s="3147"/>
      <c r="X472" s="3147"/>
      <c r="Y472" s="3147"/>
      <c r="Z472" s="3147"/>
      <c r="AA472" s="3147"/>
      <c r="AB472" s="3147"/>
      <c r="AC472" s="926"/>
      <c r="AD472" s="926"/>
      <c r="AE472" s="926"/>
      <c r="AF472" s="3145" t="s">
        <v>1620</v>
      </c>
      <c r="AG472" s="3145"/>
      <c r="AH472" s="3145"/>
      <c r="AI472" s="3145"/>
      <c r="AJ472" s="3145"/>
      <c r="AK472" s="3145"/>
      <c r="AL472" s="3145"/>
      <c r="AM472" s="1025"/>
      <c r="AN472" s="1132"/>
      <c r="AP472" s="1134" t="s">
        <v>1712</v>
      </c>
    </row>
    <row r="473" spans="1:43" s="1133" customFormat="1" ht="11.85" customHeight="1">
      <c r="A473" s="1059"/>
      <c r="B473" s="1022"/>
      <c r="C473" s="1638"/>
      <c r="D473" s="1105"/>
      <c r="E473" s="3147"/>
      <c r="F473" s="3147"/>
      <c r="G473" s="3147"/>
      <c r="H473" s="3147"/>
      <c r="I473" s="3147"/>
      <c r="J473" s="3147"/>
      <c r="K473" s="3147"/>
      <c r="L473" s="3147"/>
      <c r="M473" s="3147"/>
      <c r="N473" s="3147"/>
      <c r="O473" s="3147"/>
      <c r="P473" s="3147"/>
      <c r="Q473" s="3147"/>
      <c r="R473" s="3147"/>
      <c r="S473" s="3147"/>
      <c r="T473" s="3147"/>
      <c r="U473" s="3147"/>
      <c r="V473" s="3147"/>
      <c r="W473" s="3147"/>
      <c r="X473" s="3147"/>
      <c r="Y473" s="3147"/>
      <c r="Z473" s="3147"/>
      <c r="AA473" s="3147"/>
      <c r="AB473" s="3147"/>
      <c r="AC473" s="926"/>
      <c r="AD473" s="926"/>
      <c r="AE473" s="1022"/>
      <c r="AF473" s="926"/>
      <c r="AG473" s="926"/>
      <c r="AH473" s="926"/>
      <c r="AI473" s="926"/>
      <c r="AJ473" s="926"/>
      <c r="AK473" s="926"/>
      <c r="AL473" s="926"/>
      <c r="AM473" s="1025"/>
      <c r="AN473" s="1132"/>
      <c r="AP473" s="1134" t="s">
        <v>1713</v>
      </c>
    </row>
    <row r="474" spans="1:43" s="1133" customFormat="1" ht="14.1" customHeight="1">
      <c r="A474" s="1059"/>
      <c r="B474" s="1023"/>
      <c r="C474" s="1639"/>
      <c r="D474" s="1105"/>
      <c r="E474" s="3147"/>
      <c r="F474" s="3147"/>
      <c r="G474" s="3147"/>
      <c r="H474" s="3147"/>
      <c r="I474" s="3147"/>
      <c r="J474" s="3147"/>
      <c r="K474" s="3147"/>
      <c r="L474" s="3147"/>
      <c r="M474" s="3147"/>
      <c r="N474" s="3147"/>
      <c r="O474" s="3147"/>
      <c r="P474" s="3147"/>
      <c r="Q474" s="3147"/>
      <c r="R474" s="3147"/>
      <c r="S474" s="3147"/>
      <c r="T474" s="3147"/>
      <c r="U474" s="3147"/>
      <c r="V474" s="3147"/>
      <c r="W474" s="3147"/>
      <c r="X474" s="3147"/>
      <c r="Y474" s="3147"/>
      <c r="Z474" s="3147"/>
      <c r="AA474" s="3147"/>
      <c r="AB474" s="3147"/>
      <c r="AC474" s="926"/>
      <c r="AD474" s="926"/>
      <c r="AE474" s="1034"/>
      <c r="AF474" s="926"/>
      <c r="AG474" s="926"/>
      <c r="AH474" s="926"/>
      <c r="AI474" s="926"/>
      <c r="AJ474" s="926"/>
      <c r="AK474" s="926"/>
      <c r="AL474" s="926"/>
      <c r="AM474" s="1025"/>
      <c r="AN474" s="1132"/>
      <c r="AP474" s="1134" t="s">
        <v>1714</v>
      </c>
    </row>
    <row r="475" spans="1:43" s="1133" customFormat="1" ht="14.1"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1716</v>
      </c>
    </row>
    <row r="476" spans="1:43" s="1133" customFormat="1" ht="14.1" customHeight="1">
      <c r="A476" s="1059"/>
      <c r="B476" s="1005"/>
      <c r="C476" s="1636"/>
      <c r="D476" s="1105" t="s">
        <v>541</v>
      </c>
      <c r="E476" s="3148" t="s">
        <v>1715</v>
      </c>
      <c r="F476" s="3148"/>
      <c r="G476" s="3148"/>
      <c r="H476" s="3148"/>
      <c r="I476" s="3148"/>
      <c r="J476" s="3148"/>
      <c r="K476" s="3148"/>
      <c r="L476" s="3148"/>
      <c r="M476" s="3148"/>
      <c r="N476" s="3148"/>
      <c r="O476" s="3148"/>
      <c r="P476" s="3148"/>
      <c r="Q476" s="3148"/>
      <c r="R476" s="3148"/>
      <c r="S476" s="3148"/>
      <c r="T476" s="3148"/>
      <c r="U476" s="3148"/>
      <c r="V476" s="3148"/>
      <c r="W476" s="3148"/>
      <c r="X476" s="3148"/>
      <c r="Y476" s="3148"/>
      <c r="Z476" s="3148"/>
      <c r="AA476" s="3148"/>
      <c r="AB476" s="3148"/>
      <c r="AC476" s="926"/>
      <c r="AD476" s="926"/>
      <c r="AE476" s="926"/>
      <c r="AF476" s="3145" t="s">
        <v>1684</v>
      </c>
      <c r="AG476" s="3145"/>
      <c r="AH476" s="3145"/>
      <c r="AI476" s="3145"/>
      <c r="AJ476" s="3145"/>
      <c r="AK476" s="3145"/>
      <c r="AL476" s="3145"/>
      <c r="AM476" s="1025"/>
      <c r="AN476" s="1135"/>
    </row>
    <row r="477" spans="1:43" s="1133" customFormat="1" ht="12.75" customHeight="1">
      <c r="A477" s="1059"/>
      <c r="B477" s="1022"/>
      <c r="C477" s="1638"/>
      <c r="D477" s="1022"/>
      <c r="E477" s="3148"/>
      <c r="F477" s="3148"/>
      <c r="G477" s="3148"/>
      <c r="H477" s="3148"/>
      <c r="I477" s="3148"/>
      <c r="J477" s="3148"/>
      <c r="K477" s="3148"/>
      <c r="L477" s="3148"/>
      <c r="M477" s="3148"/>
      <c r="N477" s="3148"/>
      <c r="O477" s="3148"/>
      <c r="P477" s="3148"/>
      <c r="Q477" s="3148"/>
      <c r="R477" s="3148"/>
      <c r="S477" s="3148"/>
      <c r="T477" s="3148"/>
      <c r="U477" s="3148"/>
      <c r="V477" s="3148"/>
      <c r="W477" s="3148"/>
      <c r="X477" s="3148"/>
      <c r="Y477" s="3148"/>
      <c r="Z477" s="3148"/>
      <c r="AA477" s="3148"/>
      <c r="AB477" s="3148"/>
      <c r="AC477" s="1022"/>
      <c r="AD477" s="1022"/>
      <c r="AE477" s="1022"/>
      <c r="AF477" s="1022"/>
      <c r="AG477" s="1022"/>
      <c r="AH477" s="1022"/>
      <c r="AI477" s="1022"/>
      <c r="AJ477" s="926"/>
      <c r="AK477" s="1005"/>
      <c r="AL477" s="1005"/>
      <c r="AM477" s="1025"/>
      <c r="AN477" s="1132"/>
      <c r="AP477" s="942" t="s">
        <v>625</v>
      </c>
      <c r="AQ477" s="1119">
        <v>0</v>
      </c>
    </row>
    <row r="478" spans="1:43" s="1133" customFormat="1" ht="14.1" customHeight="1">
      <c r="A478" s="1059"/>
      <c r="B478" s="1022"/>
      <c r="C478" s="1638"/>
      <c r="D478" s="1022"/>
      <c r="E478" s="3148"/>
      <c r="F478" s="3148"/>
      <c r="G478" s="3148"/>
      <c r="H478" s="3148"/>
      <c r="I478" s="3148"/>
      <c r="J478" s="3148"/>
      <c r="K478" s="3148"/>
      <c r="L478" s="3148"/>
      <c r="M478" s="3148"/>
      <c r="N478" s="3148"/>
      <c r="O478" s="3148"/>
      <c r="P478" s="3148"/>
      <c r="Q478" s="3148"/>
      <c r="R478" s="3148"/>
      <c r="S478" s="3148"/>
      <c r="T478" s="3148"/>
      <c r="U478" s="3148"/>
      <c r="V478" s="3148"/>
      <c r="W478" s="3148"/>
      <c r="X478" s="3148"/>
      <c r="Y478" s="3148"/>
      <c r="Z478" s="3148"/>
      <c r="AA478" s="3148"/>
      <c r="AB478" s="3148"/>
      <c r="AC478" s="1022"/>
      <c r="AD478" s="1022"/>
      <c r="AE478" s="1022"/>
      <c r="AF478" s="1022"/>
      <c r="AG478" s="1022"/>
      <c r="AH478" s="1022"/>
      <c r="AI478" s="1022"/>
      <c r="AJ478" s="926"/>
      <c r="AK478" s="1005"/>
      <c r="AL478" s="1005"/>
      <c r="AM478" s="1025"/>
      <c r="AN478" s="1132"/>
      <c r="AP478" s="1117" t="s">
        <v>724</v>
      </c>
      <c r="AQ478" s="942">
        <v>2</v>
      </c>
    </row>
    <row r="479" spans="1:43" s="1133" customFormat="1" ht="14.1"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541</v>
      </c>
      <c r="AQ479" s="942">
        <v>3</v>
      </c>
    </row>
    <row r="480" spans="1:43" s="1133" customFormat="1" ht="14.1" customHeight="1">
      <c r="A480" s="1059"/>
      <c r="B480" s="1022"/>
      <c r="C480" s="1638"/>
      <c r="D480" s="1022" t="s">
        <v>1676</v>
      </c>
      <c r="E480" s="1642"/>
      <c r="F480" s="1642"/>
      <c r="G480" s="1642"/>
      <c r="H480" s="3045" t="s">
        <v>625</v>
      </c>
      <c r="I480" s="3045"/>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1717</v>
      </c>
      <c r="AJ482" s="3028">
        <f>VLOOKUP($H$480,$AO$413:$AP$415,2,FALSE)</f>
        <v>0</v>
      </c>
      <c r="AK482" s="3030"/>
      <c r="AL482" s="1004"/>
      <c r="AM482" s="1001"/>
      <c r="AN482" s="1137"/>
      <c r="AP482" s="3028"/>
      <c r="AQ482" s="3030"/>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1718</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6"/>
      <c r="D486" s="1105" t="s">
        <v>724</v>
      </c>
      <c r="E486" s="3046" t="s">
        <v>2192</v>
      </c>
      <c r="F486" s="3046"/>
      <c r="G486" s="3046"/>
      <c r="H486" s="3046"/>
      <c r="I486" s="3046"/>
      <c r="J486" s="3046"/>
      <c r="K486" s="3046"/>
      <c r="L486" s="3046"/>
      <c r="M486" s="3046"/>
      <c r="N486" s="3046"/>
      <c r="O486" s="3046"/>
      <c r="P486" s="3046"/>
      <c r="Q486" s="3046"/>
      <c r="R486" s="3046"/>
      <c r="S486" s="3046"/>
      <c r="T486" s="3046"/>
      <c r="U486" s="3046"/>
      <c r="V486" s="3046"/>
      <c r="W486" s="3046"/>
      <c r="X486" s="3046"/>
      <c r="Y486" s="3046"/>
      <c r="Z486" s="3046"/>
      <c r="AA486" s="3046"/>
      <c r="AB486" s="3046"/>
      <c r="AC486" s="926"/>
      <c r="AD486" s="926"/>
      <c r="AE486" s="926"/>
      <c r="AF486" s="3145" t="s">
        <v>1620</v>
      </c>
      <c r="AG486" s="3145"/>
      <c r="AH486" s="3145"/>
      <c r="AI486" s="3145"/>
      <c r="AJ486" s="3145"/>
      <c r="AK486" s="3145"/>
      <c r="AL486" s="3145"/>
      <c r="AM486" s="1025"/>
      <c r="AN486" s="1132"/>
      <c r="AT486" s="51"/>
      <c r="AU486" s="51"/>
      <c r="AV486" s="51"/>
      <c r="AW486" s="51"/>
      <c r="AX486" s="51"/>
      <c r="AY486" s="51"/>
      <c r="AZ486" s="51"/>
    </row>
    <row r="487" spans="1:81" s="1133" customFormat="1">
      <c r="A487" s="1059"/>
      <c r="B487" s="1022"/>
      <c r="C487" s="1638"/>
      <c r="D487" s="1105"/>
      <c r="E487" s="3046"/>
      <c r="F487" s="3046"/>
      <c r="G487" s="3046"/>
      <c r="H487" s="3046"/>
      <c r="I487" s="3046"/>
      <c r="J487" s="3046"/>
      <c r="K487" s="3046"/>
      <c r="L487" s="3046"/>
      <c r="M487" s="3046"/>
      <c r="N487" s="3046"/>
      <c r="O487" s="3046"/>
      <c r="P487" s="3046"/>
      <c r="Q487" s="3046"/>
      <c r="R487" s="3046"/>
      <c r="S487" s="3046"/>
      <c r="T487" s="3046"/>
      <c r="U487" s="3046"/>
      <c r="V487" s="3046"/>
      <c r="W487" s="3046"/>
      <c r="X487" s="3046"/>
      <c r="Y487" s="3046"/>
      <c r="Z487" s="3046"/>
      <c r="AA487" s="3046"/>
      <c r="AB487" s="3046"/>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541</v>
      </c>
      <c r="E489" s="3046" t="s">
        <v>1719</v>
      </c>
      <c r="F489" s="3046"/>
      <c r="G489" s="3046"/>
      <c r="H489" s="3046"/>
      <c r="I489" s="3046"/>
      <c r="J489" s="3046"/>
      <c r="K489" s="3046"/>
      <c r="L489" s="3046"/>
      <c r="M489" s="3046"/>
      <c r="N489" s="3046"/>
      <c r="O489" s="3046"/>
      <c r="P489" s="3046"/>
      <c r="Q489" s="3046"/>
      <c r="R489" s="3046"/>
      <c r="S489" s="3046"/>
      <c r="T489" s="3046"/>
      <c r="U489" s="3046"/>
      <c r="V489" s="3046"/>
      <c r="W489" s="3046"/>
      <c r="X489" s="3046"/>
      <c r="Y489" s="3046"/>
      <c r="Z489" s="3046"/>
      <c r="AA489" s="3046"/>
      <c r="AB489" s="3046"/>
      <c r="AC489" s="926"/>
      <c r="AD489" s="926"/>
      <c r="AE489" s="926"/>
      <c r="AF489" s="3145" t="s">
        <v>1684</v>
      </c>
      <c r="AG489" s="3145"/>
      <c r="AH489" s="3145"/>
      <c r="AI489" s="3145"/>
      <c r="AJ489" s="3145"/>
      <c r="AK489" s="3145"/>
      <c r="AL489" s="3145"/>
      <c r="AM489" s="1025"/>
      <c r="AN489" s="1132"/>
      <c r="AT489" s="51"/>
      <c r="AU489" s="51"/>
      <c r="AV489" s="51"/>
      <c r="AW489" s="51"/>
      <c r="AX489" s="51"/>
      <c r="AY489" s="51"/>
      <c r="AZ489" s="51"/>
    </row>
    <row r="490" spans="1:81" s="1133" customFormat="1">
      <c r="A490" s="1059"/>
      <c r="B490" s="1022"/>
      <c r="C490" s="1638"/>
      <c r="D490" s="1022"/>
      <c r="E490" s="3046"/>
      <c r="F490" s="3046"/>
      <c r="G490" s="3046"/>
      <c r="H490" s="3046"/>
      <c r="I490" s="3046"/>
      <c r="J490" s="3046"/>
      <c r="K490" s="3046"/>
      <c r="L490" s="3046"/>
      <c r="M490" s="3046"/>
      <c r="N490" s="3046"/>
      <c r="O490" s="3046"/>
      <c r="P490" s="3046"/>
      <c r="Q490" s="3046"/>
      <c r="R490" s="3046"/>
      <c r="S490" s="3046"/>
      <c r="T490" s="3046"/>
      <c r="U490" s="3046"/>
      <c r="V490" s="3046"/>
      <c r="W490" s="3046"/>
      <c r="X490" s="3046"/>
      <c r="Y490" s="3046"/>
      <c r="Z490" s="3046"/>
      <c r="AA490" s="3046"/>
      <c r="AB490" s="3046"/>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1676</v>
      </c>
      <c r="E492" s="1642"/>
      <c r="F492" s="1642"/>
      <c r="G492" s="1642"/>
      <c r="H492" s="3045" t="s">
        <v>625</v>
      </c>
      <c r="I492" s="3045"/>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1720</v>
      </c>
      <c r="AJ494" s="3028">
        <f>VLOOKUP($H$492,$AO$427:$AP$429,2,FALSE)</f>
        <v>0</v>
      </c>
      <c r="AK494" s="3030"/>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1721</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6"/>
      <c r="D498" s="1105" t="s">
        <v>724</v>
      </c>
      <c r="E498" s="3046" t="s">
        <v>1722</v>
      </c>
      <c r="F498" s="3046"/>
      <c r="G498" s="3046"/>
      <c r="H498" s="3046"/>
      <c r="I498" s="3046"/>
      <c r="J498" s="3046"/>
      <c r="K498" s="3046"/>
      <c r="L498" s="3046"/>
      <c r="M498" s="3046"/>
      <c r="N498" s="3046"/>
      <c r="O498" s="3046"/>
      <c r="P498" s="3046"/>
      <c r="Q498" s="3046"/>
      <c r="R498" s="3046"/>
      <c r="S498" s="3046"/>
      <c r="T498" s="3046"/>
      <c r="U498" s="3046"/>
      <c r="V498" s="3046"/>
      <c r="W498" s="3046"/>
      <c r="X498" s="3046"/>
      <c r="Y498" s="3046"/>
      <c r="Z498" s="3046"/>
      <c r="AA498" s="3046"/>
      <c r="AB498" s="3046"/>
      <c r="AC498" s="926"/>
      <c r="AD498" s="926"/>
      <c r="AE498" s="926"/>
      <c r="AF498" s="3145" t="s">
        <v>1620</v>
      </c>
      <c r="AG498" s="3145"/>
      <c r="AH498" s="3145"/>
      <c r="AI498" s="3145"/>
      <c r="AJ498" s="3145"/>
      <c r="AK498" s="3145"/>
      <c r="AL498" s="3145"/>
      <c r="AM498" s="1025"/>
      <c r="AN498" s="1132"/>
      <c r="AT498" s="51"/>
      <c r="AU498" s="51"/>
      <c r="AV498" s="51"/>
      <c r="AW498" s="51"/>
      <c r="AX498" s="51"/>
      <c r="AY498" s="51"/>
      <c r="AZ498" s="51"/>
    </row>
    <row r="499" spans="1:81" s="1133" customFormat="1">
      <c r="A499" s="1059"/>
      <c r="B499" s="926"/>
      <c r="C499" s="1636"/>
      <c r="D499" s="1105"/>
      <c r="E499" s="3046"/>
      <c r="F499" s="3046"/>
      <c r="G499" s="3046"/>
      <c r="H499" s="3046"/>
      <c r="I499" s="3046"/>
      <c r="J499" s="3046"/>
      <c r="K499" s="3046"/>
      <c r="L499" s="3046"/>
      <c r="M499" s="3046"/>
      <c r="N499" s="3046"/>
      <c r="O499" s="3046"/>
      <c r="P499" s="3046"/>
      <c r="Q499" s="3046"/>
      <c r="R499" s="3046"/>
      <c r="S499" s="3046"/>
      <c r="T499" s="3046"/>
      <c r="U499" s="3046"/>
      <c r="V499" s="3046"/>
      <c r="W499" s="3046"/>
      <c r="X499" s="3046"/>
      <c r="Y499" s="3046"/>
      <c r="Z499" s="3046"/>
      <c r="AA499" s="3046"/>
      <c r="AB499" s="3046"/>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c r="A500" s="1059"/>
      <c r="B500" s="1022"/>
      <c r="C500" s="1638"/>
      <c r="D500" s="1105"/>
      <c r="E500" s="3046"/>
      <c r="F500" s="3046"/>
      <c r="G500" s="3046"/>
      <c r="H500" s="3046"/>
      <c r="I500" s="3046"/>
      <c r="J500" s="3046"/>
      <c r="K500" s="3046"/>
      <c r="L500" s="3046"/>
      <c r="M500" s="3046"/>
      <c r="N500" s="3046"/>
      <c r="O500" s="3046"/>
      <c r="P500" s="3046"/>
      <c r="Q500" s="3046"/>
      <c r="R500" s="3046"/>
      <c r="S500" s="3046"/>
      <c r="T500" s="3046"/>
      <c r="U500" s="3046"/>
      <c r="V500" s="3046"/>
      <c r="W500" s="3046"/>
      <c r="X500" s="3046"/>
      <c r="Y500" s="3046"/>
      <c r="Z500" s="3046"/>
      <c r="AA500" s="3046"/>
      <c r="AB500" s="3046"/>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046"/>
      <c r="F501" s="3046"/>
      <c r="G501" s="3046"/>
      <c r="H501" s="3046"/>
      <c r="I501" s="3046"/>
      <c r="J501" s="3046"/>
      <c r="K501" s="3046"/>
      <c r="L501" s="3046"/>
      <c r="M501" s="3046"/>
      <c r="N501" s="3046"/>
      <c r="O501" s="3046"/>
      <c r="P501" s="3046"/>
      <c r="Q501" s="3046"/>
      <c r="R501" s="3046"/>
      <c r="S501" s="3046"/>
      <c r="T501" s="3046"/>
      <c r="U501" s="3046"/>
      <c r="V501" s="3046"/>
      <c r="W501" s="3046"/>
      <c r="X501" s="3046"/>
      <c r="Y501" s="3046"/>
      <c r="Z501" s="3046"/>
      <c r="AA501" s="3046"/>
      <c r="AB501" s="3046"/>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6"/>
      <c r="D503" s="1105" t="s">
        <v>541</v>
      </c>
      <c r="E503" s="3046" t="s">
        <v>1723</v>
      </c>
      <c r="F503" s="3046"/>
      <c r="G503" s="3046"/>
      <c r="H503" s="3046"/>
      <c r="I503" s="3046"/>
      <c r="J503" s="3046"/>
      <c r="K503" s="3046"/>
      <c r="L503" s="3046"/>
      <c r="M503" s="3046"/>
      <c r="N503" s="3046"/>
      <c r="O503" s="3046"/>
      <c r="P503" s="3046"/>
      <c r="Q503" s="3046"/>
      <c r="R503" s="3046"/>
      <c r="S503" s="3046"/>
      <c r="T503" s="3046"/>
      <c r="U503" s="3046"/>
      <c r="V503" s="3046"/>
      <c r="W503" s="3046"/>
      <c r="X503" s="3046"/>
      <c r="Y503" s="3046"/>
      <c r="Z503" s="3046"/>
      <c r="AA503" s="3046"/>
      <c r="AB503" s="968"/>
      <c r="AC503" s="926"/>
      <c r="AD503" s="926"/>
      <c r="AE503" s="926"/>
      <c r="AF503" s="3145" t="s">
        <v>1684</v>
      </c>
      <c r="AG503" s="3145"/>
      <c r="AH503" s="3145"/>
      <c r="AI503" s="3145"/>
      <c r="AJ503" s="3145"/>
      <c r="AK503" s="3145"/>
      <c r="AL503" s="3145"/>
      <c r="AM503" s="1025"/>
      <c r="AN503" s="1132"/>
      <c r="AO503" s="126"/>
      <c r="AP503" s="51"/>
    </row>
    <row r="504" spans="1:81" s="1133" customFormat="1">
      <c r="A504" s="1059"/>
      <c r="B504" s="1005"/>
      <c r="C504" s="1636"/>
      <c r="D504" s="1105"/>
      <c r="E504" s="3046"/>
      <c r="F504" s="3046"/>
      <c r="G504" s="3046"/>
      <c r="H504" s="3046"/>
      <c r="I504" s="3046"/>
      <c r="J504" s="3046"/>
      <c r="K504" s="3046"/>
      <c r="L504" s="3046"/>
      <c r="M504" s="3046"/>
      <c r="N504" s="3046"/>
      <c r="O504" s="3046"/>
      <c r="P504" s="3046"/>
      <c r="Q504" s="3046"/>
      <c r="R504" s="3046"/>
      <c r="S504" s="3046"/>
      <c r="T504" s="3046"/>
      <c r="U504" s="3046"/>
      <c r="V504" s="3046"/>
      <c r="W504" s="3046"/>
      <c r="X504" s="3046"/>
      <c r="Y504" s="3046"/>
      <c r="Z504" s="3046"/>
      <c r="AA504" s="3046"/>
      <c r="AB504" s="968"/>
      <c r="AC504" s="926"/>
      <c r="AD504" s="926"/>
      <c r="AE504" s="926"/>
      <c r="AF504" s="1595"/>
      <c r="AG504" s="1595"/>
      <c r="AH504" s="1595"/>
      <c r="AI504" s="1595"/>
      <c r="AJ504" s="1595"/>
      <c r="AK504" s="1595"/>
      <c r="AL504" s="1595"/>
      <c r="AM504" s="1025"/>
      <c r="AN504" s="1132"/>
      <c r="AO504" s="126"/>
      <c r="AP504" s="51"/>
    </row>
    <row r="505" spans="1:81" s="1133" customFormat="1">
      <c r="A505" s="1059"/>
      <c r="B505" s="1005"/>
      <c r="C505" s="1636"/>
      <c r="D505" s="1022"/>
      <c r="E505" s="3046"/>
      <c r="F505" s="3046"/>
      <c r="G505" s="3046"/>
      <c r="H505" s="3046"/>
      <c r="I505" s="3046"/>
      <c r="J505" s="3046"/>
      <c r="K505" s="3046"/>
      <c r="L505" s="3046"/>
      <c r="M505" s="3046"/>
      <c r="N505" s="3046"/>
      <c r="O505" s="3046"/>
      <c r="P505" s="3046"/>
      <c r="Q505" s="3046"/>
      <c r="R505" s="3046"/>
      <c r="S505" s="3046"/>
      <c r="T505" s="3046"/>
      <c r="U505" s="3046"/>
      <c r="V505" s="3046"/>
      <c r="W505" s="3046"/>
      <c r="X505" s="3046"/>
      <c r="Y505" s="3046"/>
      <c r="Z505" s="3046"/>
      <c r="AA505" s="3046"/>
      <c r="AB505" s="968"/>
      <c r="AC505" s="1595"/>
      <c r="AD505" s="1595"/>
      <c r="AE505" s="1595"/>
      <c r="AF505" s="1595"/>
      <c r="AG505" s="1595"/>
      <c r="AH505" s="1595"/>
      <c r="AI505" s="1595"/>
      <c r="AJ505" s="926"/>
      <c r="AK505" s="1005"/>
      <c r="AL505" s="1005"/>
      <c r="AM505" s="1025"/>
      <c r="AN505" s="1132"/>
      <c r="AO505" s="126"/>
      <c r="AP505" s="51"/>
    </row>
    <row r="506" spans="1:81" s="1133" customFormat="1">
      <c r="A506" s="1059"/>
      <c r="B506" s="1005"/>
      <c r="C506" s="1636"/>
      <c r="D506" s="1022"/>
      <c r="E506" s="3046"/>
      <c r="F506" s="3046"/>
      <c r="G506" s="3046"/>
      <c r="H506" s="3046"/>
      <c r="I506" s="3046"/>
      <c r="J506" s="3046"/>
      <c r="K506" s="3046"/>
      <c r="L506" s="3046"/>
      <c r="M506" s="3046"/>
      <c r="N506" s="3046"/>
      <c r="O506" s="3046"/>
      <c r="P506" s="3046"/>
      <c r="Q506" s="3046"/>
      <c r="R506" s="3046"/>
      <c r="S506" s="3046"/>
      <c r="T506" s="3046"/>
      <c r="U506" s="3046"/>
      <c r="V506" s="3046"/>
      <c r="W506" s="3046"/>
      <c r="X506" s="3046"/>
      <c r="Y506" s="3046"/>
      <c r="Z506" s="3046"/>
      <c r="AA506" s="3046"/>
      <c r="AB506" s="968"/>
      <c r="AC506" s="1595"/>
      <c r="AD506" s="1595"/>
      <c r="AE506" s="1595"/>
      <c r="AF506" s="1595"/>
      <c r="AG506" s="1595"/>
      <c r="AH506" s="1595"/>
      <c r="AI506" s="1595"/>
      <c r="AJ506" s="926"/>
      <c r="AK506" s="1005"/>
      <c r="AL506" s="1005"/>
      <c r="AM506" s="1025"/>
      <c r="AN506" s="1132"/>
      <c r="AO506" s="126"/>
      <c r="AP506" s="51"/>
    </row>
    <row r="507" spans="1:81" s="1133" customFormat="1">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1676</v>
      </c>
      <c r="E508" s="1642"/>
      <c r="F508" s="1642"/>
      <c r="G508" s="1642"/>
      <c r="H508" s="3045" t="s">
        <v>625</v>
      </c>
      <c r="I508" s="3045"/>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1724</v>
      </c>
      <c r="AJ510" s="3028">
        <f>VLOOKUP($H$508,$AO$441:$AP$443,2,FALSE)</f>
        <v>0</v>
      </c>
      <c r="AK510" s="3030"/>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1714</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6"/>
      <c r="D514" s="1105" t="s">
        <v>724</v>
      </c>
      <c r="E514" s="3046" t="s">
        <v>1725</v>
      </c>
      <c r="F514" s="3046"/>
      <c r="G514" s="3046"/>
      <c r="H514" s="3046"/>
      <c r="I514" s="3046"/>
      <c r="J514" s="3046"/>
      <c r="K514" s="3046"/>
      <c r="L514" s="3046"/>
      <c r="M514" s="3046"/>
      <c r="N514" s="3046"/>
      <c r="O514" s="3046"/>
      <c r="P514" s="3046"/>
      <c r="Q514" s="3046"/>
      <c r="R514" s="3046"/>
      <c r="S514" s="3046"/>
      <c r="T514" s="3046"/>
      <c r="U514" s="3046"/>
      <c r="V514" s="3046"/>
      <c r="W514" s="3046"/>
      <c r="X514" s="3046"/>
      <c r="Y514" s="3046"/>
      <c r="Z514" s="3046"/>
      <c r="AA514" s="3046"/>
      <c r="AB514" s="3046"/>
      <c r="AC514" s="926"/>
      <c r="AD514" s="926"/>
      <c r="AE514" s="926"/>
      <c r="AF514" s="3145" t="s">
        <v>1684</v>
      </c>
      <c r="AG514" s="3145"/>
      <c r="AH514" s="3145"/>
      <c r="AI514" s="3145"/>
      <c r="AJ514" s="3145"/>
      <c r="AK514" s="3145"/>
      <c r="AL514" s="3145"/>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8"/>
      <c r="D515" s="1105"/>
      <c r="E515" s="3046"/>
      <c r="F515" s="3046"/>
      <c r="G515" s="3046"/>
      <c r="H515" s="3046"/>
      <c r="I515" s="3046"/>
      <c r="J515" s="3046"/>
      <c r="K515" s="3046"/>
      <c r="L515" s="3046"/>
      <c r="M515" s="3046"/>
      <c r="N515" s="3046"/>
      <c r="O515" s="3046"/>
      <c r="P515" s="3046"/>
      <c r="Q515" s="3046"/>
      <c r="R515" s="3046"/>
      <c r="S515" s="3046"/>
      <c r="T515" s="3046"/>
      <c r="U515" s="3046"/>
      <c r="V515" s="3046"/>
      <c r="W515" s="3046"/>
      <c r="X515" s="3046"/>
      <c r="Y515" s="3046"/>
      <c r="Z515" s="3046"/>
      <c r="AA515" s="3046"/>
      <c r="AB515" s="3046"/>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6"/>
      <c r="D517" s="1105" t="s">
        <v>541</v>
      </c>
      <c r="E517" s="3046" t="s">
        <v>1726</v>
      </c>
      <c r="F517" s="3046"/>
      <c r="G517" s="3046"/>
      <c r="H517" s="3046"/>
      <c r="I517" s="3046"/>
      <c r="J517" s="3046"/>
      <c r="K517" s="3046"/>
      <c r="L517" s="3046"/>
      <c r="M517" s="3046"/>
      <c r="N517" s="3046"/>
      <c r="O517" s="3046"/>
      <c r="P517" s="3046"/>
      <c r="Q517" s="3046"/>
      <c r="R517" s="3046"/>
      <c r="S517" s="3046"/>
      <c r="T517" s="3046"/>
      <c r="U517" s="3046"/>
      <c r="V517" s="3046"/>
      <c r="W517" s="3046"/>
      <c r="X517" s="3046"/>
      <c r="Y517" s="3046"/>
      <c r="Z517" s="3046"/>
      <c r="AA517" s="3046"/>
      <c r="AB517" s="3046"/>
      <c r="AC517" s="926"/>
      <c r="AD517" s="926"/>
      <c r="AE517" s="926"/>
      <c r="AF517" s="3145" t="s">
        <v>1703</v>
      </c>
      <c r="AG517" s="3145"/>
      <c r="AH517" s="3145"/>
      <c r="AI517" s="3145"/>
      <c r="AJ517" s="3145"/>
      <c r="AK517" s="3145"/>
      <c r="AL517" s="3145"/>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046"/>
      <c r="F518" s="3046"/>
      <c r="G518" s="3046"/>
      <c r="H518" s="3046"/>
      <c r="I518" s="3046"/>
      <c r="J518" s="3046"/>
      <c r="K518" s="3046"/>
      <c r="L518" s="3046"/>
      <c r="M518" s="3046"/>
      <c r="N518" s="3046"/>
      <c r="O518" s="3046"/>
      <c r="P518" s="3046"/>
      <c r="Q518" s="3046"/>
      <c r="R518" s="3046"/>
      <c r="S518" s="3046"/>
      <c r="T518" s="3046"/>
      <c r="U518" s="3046"/>
      <c r="V518" s="3046"/>
      <c r="W518" s="3046"/>
      <c r="X518" s="3046"/>
      <c r="Y518" s="3046"/>
      <c r="Z518" s="3046"/>
      <c r="AA518" s="3046"/>
      <c r="AB518" s="3046"/>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1676</v>
      </c>
      <c r="E520" s="1642"/>
      <c r="F520" s="1642"/>
      <c r="G520" s="1642"/>
      <c r="H520" s="3045" t="s">
        <v>724</v>
      </c>
      <c r="I520" s="3045"/>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4.1"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1727</v>
      </c>
      <c r="AJ522" s="3028">
        <f>VLOOKUP($H$520,$AO$455:$AP$457,2,FALSE)</f>
        <v>2</v>
      </c>
      <c r="AK522" s="3030"/>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1716</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9" customHeight="1">
      <c r="A526" s="1059"/>
      <c r="B526" s="1034"/>
      <c r="C526" s="1648"/>
      <c r="D526" s="1105" t="s">
        <v>724</v>
      </c>
      <c r="E526" s="3046" t="s">
        <v>2185</v>
      </c>
      <c r="F526" s="3046"/>
      <c r="G526" s="3046"/>
      <c r="H526" s="3046"/>
      <c r="I526" s="3046"/>
      <c r="J526" s="3046"/>
      <c r="K526" s="3046"/>
      <c r="L526" s="3046"/>
      <c r="M526" s="3046"/>
      <c r="N526" s="3046"/>
      <c r="O526" s="3046"/>
      <c r="P526" s="3046"/>
      <c r="Q526" s="3046"/>
      <c r="R526" s="3046"/>
      <c r="S526" s="3046"/>
      <c r="T526" s="3046"/>
      <c r="U526" s="3046"/>
      <c r="V526" s="3046"/>
      <c r="W526" s="3046"/>
      <c r="X526" s="3046"/>
      <c r="Y526" s="3046"/>
      <c r="Z526" s="3046"/>
      <c r="AA526" s="3046"/>
      <c r="AB526" s="3046"/>
      <c r="AC526" s="3046"/>
      <c r="AD526" s="3046"/>
      <c r="AE526" s="926"/>
      <c r="AF526" s="3145" t="s">
        <v>1684</v>
      </c>
      <c r="AG526" s="3145"/>
      <c r="AH526" s="3145"/>
      <c r="AI526" s="3145"/>
      <c r="AJ526" s="3145"/>
      <c r="AK526" s="3145"/>
      <c r="AL526" s="3145"/>
      <c r="AM526" s="1030"/>
      <c r="AN526" s="1132"/>
    </row>
    <row r="527" spans="1:74" s="1133" customFormat="1" ht="13.9" customHeight="1">
      <c r="A527" s="1059"/>
      <c r="B527" s="1034"/>
      <c r="C527" s="1648"/>
      <c r="D527" s="1105"/>
      <c r="E527" s="3046"/>
      <c r="F527" s="3046"/>
      <c r="G527" s="3046"/>
      <c r="H527" s="3046"/>
      <c r="I527" s="3046"/>
      <c r="J527" s="3046"/>
      <c r="K527" s="3046"/>
      <c r="L527" s="3046"/>
      <c r="M527" s="3046"/>
      <c r="N527" s="3046"/>
      <c r="O527" s="3046"/>
      <c r="P527" s="3046"/>
      <c r="Q527" s="3046"/>
      <c r="R527" s="3046"/>
      <c r="S527" s="3046"/>
      <c r="T527" s="3046"/>
      <c r="U527" s="3046"/>
      <c r="V527" s="3046"/>
      <c r="W527" s="3046"/>
      <c r="X527" s="3046"/>
      <c r="Y527" s="3046"/>
      <c r="Z527" s="3046"/>
      <c r="AA527" s="3046"/>
      <c r="AB527" s="3046"/>
      <c r="AC527" s="3046"/>
      <c r="AD527" s="3046"/>
      <c r="AE527" s="926"/>
      <c r="AF527" s="1595"/>
      <c r="AG527" s="1595"/>
      <c r="AH527" s="1595"/>
      <c r="AI527" s="1595"/>
      <c r="AJ527" s="1595"/>
      <c r="AK527" s="1595"/>
      <c r="AL527" s="1595"/>
      <c r="AM527" s="1030"/>
      <c r="AN527" s="1132"/>
    </row>
    <row r="528" spans="1:74" s="1133" customFormat="1">
      <c r="A528" s="1059"/>
      <c r="B528" s="1034"/>
      <c r="C528" s="1648"/>
      <c r="D528" s="1105"/>
      <c r="E528" s="3046"/>
      <c r="F528" s="3046"/>
      <c r="G528" s="3046"/>
      <c r="H528" s="3046"/>
      <c r="I528" s="3046"/>
      <c r="J528" s="3046"/>
      <c r="K528" s="3046"/>
      <c r="L528" s="3046"/>
      <c r="M528" s="3046"/>
      <c r="N528" s="3046"/>
      <c r="O528" s="3046"/>
      <c r="P528" s="3046"/>
      <c r="Q528" s="3046"/>
      <c r="R528" s="3046"/>
      <c r="S528" s="3046"/>
      <c r="T528" s="3046"/>
      <c r="U528" s="3046"/>
      <c r="V528" s="3046"/>
      <c r="W528" s="3046"/>
      <c r="X528" s="3046"/>
      <c r="Y528" s="3046"/>
      <c r="Z528" s="3046"/>
      <c r="AA528" s="3046"/>
      <c r="AB528" s="3046"/>
      <c r="AC528" s="3046"/>
      <c r="AD528" s="3046"/>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8"/>
      <c r="D529" s="1105"/>
      <c r="E529" s="3046"/>
      <c r="F529" s="3046"/>
      <c r="G529" s="3046"/>
      <c r="H529" s="3046"/>
      <c r="I529" s="3046"/>
      <c r="J529" s="3046"/>
      <c r="K529" s="3046"/>
      <c r="L529" s="3046"/>
      <c r="M529" s="3046"/>
      <c r="N529" s="3046"/>
      <c r="O529" s="3046"/>
      <c r="P529" s="3046"/>
      <c r="Q529" s="3046"/>
      <c r="R529" s="3046"/>
      <c r="S529" s="3046"/>
      <c r="T529" s="3046"/>
      <c r="U529" s="3046"/>
      <c r="V529" s="3046"/>
      <c r="W529" s="3046"/>
      <c r="X529" s="3046"/>
      <c r="Y529" s="3046"/>
      <c r="Z529" s="3046"/>
      <c r="AA529" s="3046"/>
      <c r="AB529" s="3046"/>
      <c r="AC529" s="3046"/>
      <c r="AD529" s="3046"/>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541</v>
      </c>
      <c r="E531" s="3146" t="s">
        <v>2193</v>
      </c>
      <c r="F531" s="3146"/>
      <c r="G531" s="3146"/>
      <c r="H531" s="3146"/>
      <c r="I531" s="3146"/>
      <c r="J531" s="3146"/>
      <c r="K531" s="3146"/>
      <c r="L531" s="3146"/>
      <c r="M531" s="3146"/>
      <c r="N531" s="3146"/>
      <c r="O531" s="3146"/>
      <c r="P531" s="3146"/>
      <c r="Q531" s="3146"/>
      <c r="R531" s="3146"/>
      <c r="S531" s="3146"/>
      <c r="T531" s="3146"/>
      <c r="U531" s="3146"/>
      <c r="V531" s="3146"/>
      <c r="W531" s="3146"/>
      <c r="X531" s="3146"/>
      <c r="Y531" s="3146"/>
      <c r="Z531" s="3146"/>
      <c r="AA531" s="3146"/>
      <c r="AB531" s="3146"/>
      <c r="AC531" s="3146"/>
      <c r="AD531" s="3146"/>
      <c r="AE531" s="926"/>
      <c r="AF531" s="3145" t="s">
        <v>1620</v>
      </c>
      <c r="AG531" s="3145"/>
      <c r="AH531" s="3145"/>
      <c r="AI531" s="3145"/>
      <c r="AJ531" s="3145"/>
      <c r="AK531" s="3145"/>
      <c r="AL531" s="3145"/>
      <c r="AM531" s="1030"/>
      <c r="AN531" s="999"/>
    </row>
    <row r="532" spans="1:81" s="942" customFormat="1" ht="12.75" customHeight="1">
      <c r="A532" s="1059"/>
      <c r="B532" s="1034"/>
      <c r="C532" s="1648"/>
      <c r="D532" s="1105"/>
      <c r="E532" s="3146"/>
      <c r="F532" s="3146"/>
      <c r="G532" s="3146"/>
      <c r="H532" s="3146"/>
      <c r="I532" s="3146"/>
      <c r="J532" s="3146"/>
      <c r="K532" s="3146"/>
      <c r="L532" s="3146"/>
      <c r="M532" s="3146"/>
      <c r="N532" s="3146"/>
      <c r="O532" s="3146"/>
      <c r="P532" s="3146"/>
      <c r="Q532" s="3146"/>
      <c r="R532" s="3146"/>
      <c r="S532" s="3146"/>
      <c r="T532" s="3146"/>
      <c r="U532" s="3146"/>
      <c r="V532" s="3146"/>
      <c r="W532" s="3146"/>
      <c r="X532" s="3146"/>
      <c r="Y532" s="3146"/>
      <c r="Z532" s="3146"/>
      <c r="AA532" s="3146"/>
      <c r="AB532" s="3146"/>
      <c r="AC532" s="3146"/>
      <c r="AD532" s="3146"/>
      <c r="AE532" s="1595"/>
      <c r="AF532" s="1595"/>
      <c r="AG532" s="1595"/>
      <c r="AH532" s="1595"/>
      <c r="AI532" s="1595"/>
      <c r="AJ532" s="1595"/>
      <c r="AK532" s="1595"/>
      <c r="AL532" s="1595"/>
      <c r="AM532" s="1030"/>
      <c r="AN532" s="999"/>
    </row>
    <row r="533" spans="1:81" s="942" customFormat="1" ht="12.75" customHeight="1">
      <c r="A533" s="1059"/>
      <c r="B533" s="1034"/>
      <c r="C533" s="1648"/>
      <c r="D533" s="1105"/>
      <c r="E533" s="3146"/>
      <c r="F533" s="3146"/>
      <c r="G533" s="3146"/>
      <c r="H533" s="3146"/>
      <c r="I533" s="3146"/>
      <c r="J533" s="3146"/>
      <c r="K533" s="3146"/>
      <c r="L533" s="3146"/>
      <c r="M533" s="3146"/>
      <c r="N533" s="3146"/>
      <c r="O533" s="3146"/>
      <c r="P533" s="3146"/>
      <c r="Q533" s="3146"/>
      <c r="R533" s="3146"/>
      <c r="S533" s="3146"/>
      <c r="T533" s="3146"/>
      <c r="U533" s="3146"/>
      <c r="V533" s="3146"/>
      <c r="W533" s="3146"/>
      <c r="X533" s="3146"/>
      <c r="Y533" s="3146"/>
      <c r="Z533" s="3146"/>
      <c r="AA533" s="3146"/>
      <c r="AB533" s="3146"/>
      <c r="AC533" s="3146"/>
      <c r="AD533" s="3146"/>
      <c r="AE533" s="1595"/>
      <c r="AF533" s="1595"/>
      <c r="AG533" s="1595"/>
      <c r="AH533" s="1595"/>
      <c r="AI533" s="1595"/>
      <c r="AJ533" s="1595"/>
      <c r="AK533" s="1595"/>
      <c r="AL533" s="1595"/>
      <c r="AM533" s="1030"/>
      <c r="AN533" s="999"/>
    </row>
    <row r="534" spans="1:81" s="942" customFormat="1" ht="12.75" customHeight="1">
      <c r="A534" s="1059"/>
      <c r="B534" s="1034"/>
      <c r="C534" s="1648"/>
      <c r="D534" s="1105"/>
      <c r="E534" s="3146"/>
      <c r="F534" s="3146"/>
      <c r="G534" s="3146"/>
      <c r="H534" s="3146"/>
      <c r="I534" s="3146"/>
      <c r="J534" s="3146"/>
      <c r="K534" s="3146"/>
      <c r="L534" s="3146"/>
      <c r="M534" s="3146"/>
      <c r="N534" s="3146"/>
      <c r="O534" s="3146"/>
      <c r="P534" s="3146"/>
      <c r="Q534" s="3146"/>
      <c r="R534" s="3146"/>
      <c r="S534" s="3146"/>
      <c r="T534" s="3146"/>
      <c r="U534" s="3146"/>
      <c r="V534" s="3146"/>
      <c r="W534" s="3146"/>
      <c r="X534" s="3146"/>
      <c r="Y534" s="3146"/>
      <c r="Z534" s="3146"/>
      <c r="AA534" s="3146"/>
      <c r="AB534" s="3146"/>
      <c r="AC534" s="3146"/>
      <c r="AD534" s="3146"/>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1676</v>
      </c>
      <c r="E536" s="1642"/>
      <c r="F536" s="1642"/>
      <c r="G536" s="1642"/>
      <c r="H536" s="3045" t="s">
        <v>625</v>
      </c>
      <c r="I536" s="3045"/>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1728</v>
      </c>
      <c r="AJ538" s="3028">
        <f>VLOOKUP($H$536,$AP$477:$AQ$479,2,FALSE)</f>
        <v>0</v>
      </c>
      <c r="AK538" s="3030"/>
      <c r="AL538" s="1004"/>
      <c r="AM538" s="1001"/>
      <c r="AN538" s="999"/>
    </row>
    <row r="539" spans="1:81" s="1133" customFormat="1">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1729</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625</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9" customHeight="1">
      <c r="A542" s="1059"/>
      <c r="B542" s="1034"/>
      <c r="C542" s="1648"/>
      <c r="D542" s="1105" t="s">
        <v>724</v>
      </c>
      <c r="E542" s="3046" t="s">
        <v>2184</v>
      </c>
      <c r="F542" s="3046"/>
      <c r="G542" s="3046"/>
      <c r="H542" s="3046"/>
      <c r="I542" s="3046"/>
      <c r="J542" s="3046"/>
      <c r="K542" s="3046"/>
      <c r="L542" s="3046"/>
      <c r="M542" s="3046"/>
      <c r="N542" s="3046"/>
      <c r="O542" s="3046"/>
      <c r="P542" s="3046"/>
      <c r="Q542" s="3046"/>
      <c r="R542" s="3046"/>
      <c r="S542" s="3046"/>
      <c r="T542" s="3046"/>
      <c r="U542" s="3046"/>
      <c r="V542" s="3046"/>
      <c r="W542" s="3046"/>
      <c r="X542" s="3046"/>
      <c r="Y542" s="3046"/>
      <c r="Z542" s="3046"/>
      <c r="AA542" s="3046"/>
      <c r="AB542" s="3046"/>
      <c r="AC542" s="3046"/>
      <c r="AD542" s="3046"/>
      <c r="AE542" s="926"/>
      <c r="AF542" s="3145" t="s">
        <v>1730</v>
      </c>
      <c r="AG542" s="3145"/>
      <c r="AH542" s="3145"/>
      <c r="AI542" s="3145"/>
      <c r="AJ542" s="3145"/>
      <c r="AK542" s="3145"/>
      <c r="AL542" s="3145"/>
      <c r="AM542" s="1030"/>
      <c r="AN542" s="1132"/>
      <c r="AO542" s="1117" t="s">
        <v>577</v>
      </c>
      <c r="AP542" s="942">
        <v>8</v>
      </c>
      <c r="AT542" s="1142"/>
      <c r="AU542" s="1142"/>
      <c r="AV542" s="1142"/>
      <c r="AW542" s="1142"/>
      <c r="AX542" s="1142"/>
      <c r="AY542" s="1142"/>
      <c r="AZ542" s="1142"/>
    </row>
    <row r="543" spans="1:81" s="1133" customFormat="1" ht="13.9" customHeight="1">
      <c r="A543" s="1059"/>
      <c r="B543" s="1034"/>
      <c r="C543" s="1648"/>
      <c r="D543" s="1105"/>
      <c r="E543" s="3046"/>
      <c r="F543" s="3046"/>
      <c r="G543" s="3046"/>
      <c r="H543" s="3046"/>
      <c r="I543" s="3046"/>
      <c r="J543" s="3046"/>
      <c r="K543" s="3046"/>
      <c r="L543" s="3046"/>
      <c r="M543" s="3046"/>
      <c r="N543" s="3046"/>
      <c r="O543" s="3046"/>
      <c r="P543" s="3046"/>
      <c r="Q543" s="3046"/>
      <c r="R543" s="3046"/>
      <c r="S543" s="3046"/>
      <c r="T543" s="3046"/>
      <c r="U543" s="3046"/>
      <c r="V543" s="3046"/>
      <c r="W543" s="3046"/>
      <c r="X543" s="3046"/>
      <c r="Y543" s="3046"/>
      <c r="Z543" s="3046"/>
      <c r="AA543" s="3046"/>
      <c r="AB543" s="3046"/>
      <c r="AC543" s="3046"/>
      <c r="AD543" s="3046"/>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c r="A544" s="1059"/>
      <c r="B544" s="1034"/>
      <c r="C544" s="1648"/>
      <c r="D544" s="1105"/>
      <c r="E544" s="3046"/>
      <c r="F544" s="3046"/>
      <c r="G544" s="3046"/>
      <c r="H544" s="3046"/>
      <c r="I544" s="3046"/>
      <c r="J544" s="3046"/>
      <c r="K544" s="3046"/>
      <c r="L544" s="3046"/>
      <c r="M544" s="3046"/>
      <c r="N544" s="3046"/>
      <c r="O544" s="3046"/>
      <c r="P544" s="3046"/>
      <c r="Q544" s="3046"/>
      <c r="R544" s="3046"/>
      <c r="S544" s="3046"/>
      <c r="T544" s="3046"/>
      <c r="U544" s="3046"/>
      <c r="V544" s="3046"/>
      <c r="W544" s="3046"/>
      <c r="X544" s="3046"/>
      <c r="Y544" s="3046"/>
      <c r="Z544" s="3046"/>
      <c r="AA544" s="3046"/>
      <c r="AB544" s="3046"/>
      <c r="AC544" s="3046"/>
      <c r="AD544" s="3046"/>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c r="A545" s="1059"/>
      <c r="B545" s="1034"/>
      <c r="C545" s="1648"/>
      <c r="D545" s="1105"/>
      <c r="E545" s="3046"/>
      <c r="F545" s="3046"/>
      <c r="G545" s="3046"/>
      <c r="H545" s="3046"/>
      <c r="I545" s="3046"/>
      <c r="J545" s="3046"/>
      <c r="K545" s="3046"/>
      <c r="L545" s="3046"/>
      <c r="M545" s="3046"/>
      <c r="N545" s="3046"/>
      <c r="O545" s="3046"/>
      <c r="P545" s="3046"/>
      <c r="Q545" s="3046"/>
      <c r="R545" s="3046"/>
      <c r="S545" s="3046"/>
      <c r="T545" s="3046"/>
      <c r="U545" s="3046"/>
      <c r="V545" s="3046"/>
      <c r="W545" s="3046"/>
      <c r="X545" s="3046"/>
      <c r="Y545" s="3046"/>
      <c r="Z545" s="3046"/>
      <c r="AA545" s="3046"/>
      <c r="AB545" s="3046"/>
      <c r="AC545" s="3046"/>
      <c r="AD545" s="3046"/>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c r="A547" s="1059"/>
      <c r="B547" s="1034"/>
      <c r="C547" s="1648"/>
      <c r="D547" s="1022" t="s">
        <v>1676</v>
      </c>
      <c r="E547" s="1642"/>
      <c r="F547" s="1642"/>
      <c r="G547" s="1642"/>
      <c r="H547" s="3045" t="s">
        <v>625</v>
      </c>
      <c r="I547" s="3045"/>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1731</v>
      </c>
      <c r="AJ549" s="3028">
        <f>VLOOKUP($H$547,$AO$541:$AP$542,2,FALSE)</f>
        <v>0</v>
      </c>
      <c r="AK549" s="3030"/>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1732</v>
      </c>
      <c r="AK551" s="3028">
        <f>IF(($AJ$382+$AJ$401+$AJ$413+$AJ$448+$AJ$468+$AJ$482+$AJ$494+$AJ$510+$AJ$522+$AJ$538+AJ549)&gt;10,10,($AJ$382+$AJ$401+$AJ$413+$AJ$448+$AJ$468+$AJ$482+$AJ$494+$AJ$510+$AJ$522+$AJ$538+AJ549))</f>
        <v>10</v>
      </c>
      <c r="AL551" s="3029"/>
      <c r="AM551" s="3030"/>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1733</v>
      </c>
      <c r="AK553" s="3028">
        <f>IF((AK320+AK551)&gt;20,20,(AK320+AK551))</f>
        <v>19</v>
      </c>
      <c r="AL553" s="3029"/>
      <c r="AM553" s="3030"/>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1734</v>
      </c>
      <c r="B556" s="1011" t="s">
        <v>907</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10" t="s">
        <v>1582</v>
      </c>
      <c r="AF556" s="3110"/>
      <c r="AG556" s="3110"/>
      <c r="AH556" s="3110"/>
      <c r="AI556" s="3110"/>
      <c r="AJ556" s="3110"/>
      <c r="AK556" s="3110"/>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037" t="s">
        <v>1735</v>
      </c>
      <c r="D558" s="3037"/>
      <c r="E558" s="3037"/>
      <c r="F558" s="3037"/>
      <c r="G558" s="3037"/>
      <c r="H558" s="3037"/>
      <c r="I558" s="3037"/>
      <c r="J558" s="3037"/>
      <c r="K558" s="3037"/>
      <c r="L558" s="3037"/>
      <c r="M558" s="3037"/>
      <c r="N558" s="3037"/>
      <c r="O558" s="3037"/>
      <c r="P558" s="3037"/>
      <c r="Q558" s="3037"/>
      <c r="R558" s="3037"/>
      <c r="S558" s="3037"/>
      <c r="T558" s="3037"/>
      <c r="U558" s="3037"/>
      <c r="V558" s="3037"/>
      <c r="W558" s="3037"/>
      <c r="X558" s="3037"/>
      <c r="Y558" s="3037"/>
      <c r="Z558" s="3037"/>
      <c r="AA558" s="3037"/>
      <c r="AB558" s="3037"/>
      <c r="AC558" s="3037"/>
      <c r="AD558" s="3037"/>
      <c r="AE558" s="3037"/>
      <c r="AF558" s="3037"/>
      <c r="AG558" s="3037"/>
      <c r="AH558" s="3037"/>
      <c r="AI558" s="3037"/>
      <c r="AJ558" s="3037"/>
      <c r="AK558" s="1026"/>
      <c r="AL558" s="1026"/>
      <c r="AM558" s="1026"/>
      <c r="AN558" s="999"/>
    </row>
    <row r="559" spans="1:81" s="942" customFormat="1" ht="12.75" customHeight="1">
      <c r="A559" s="1026"/>
      <c r="B559" s="1027"/>
      <c r="C559" s="3037"/>
      <c r="D559" s="3037"/>
      <c r="E559" s="3037"/>
      <c r="F559" s="3037"/>
      <c r="G559" s="3037"/>
      <c r="H559" s="3037"/>
      <c r="I559" s="3037"/>
      <c r="J559" s="3037"/>
      <c r="K559" s="3037"/>
      <c r="L559" s="3037"/>
      <c r="M559" s="3037"/>
      <c r="N559" s="3037"/>
      <c r="O559" s="3037"/>
      <c r="P559" s="3037"/>
      <c r="Q559" s="3037"/>
      <c r="R559" s="3037"/>
      <c r="S559" s="3037"/>
      <c r="T559" s="3037"/>
      <c r="U559" s="3037"/>
      <c r="V559" s="3037"/>
      <c r="W559" s="3037"/>
      <c r="X559" s="3037"/>
      <c r="Y559" s="3037"/>
      <c r="Z559" s="3037"/>
      <c r="AA559" s="3037"/>
      <c r="AB559" s="3037"/>
      <c r="AC559" s="3037"/>
      <c r="AD559" s="3037"/>
      <c r="AE559" s="3037"/>
      <c r="AF559" s="3037"/>
      <c r="AG559" s="3037"/>
      <c r="AH559" s="3037"/>
      <c r="AI559" s="3037"/>
      <c r="AJ559" s="3037"/>
      <c r="AK559" s="1026"/>
      <c r="AL559" s="1026"/>
      <c r="AM559" s="1026"/>
      <c r="AN559" s="999"/>
    </row>
    <row r="560" spans="1:81" s="942" customFormat="1" ht="12.75" customHeight="1">
      <c r="A560" s="1026"/>
      <c r="B560" s="1027"/>
      <c r="C560" s="3037"/>
      <c r="D560" s="3037"/>
      <c r="E560" s="3037"/>
      <c r="F560" s="3037"/>
      <c r="G560" s="3037"/>
      <c r="H560" s="3037"/>
      <c r="I560" s="3037"/>
      <c r="J560" s="3037"/>
      <c r="K560" s="3037"/>
      <c r="L560" s="3037"/>
      <c r="M560" s="3037"/>
      <c r="N560" s="3037"/>
      <c r="O560" s="3037"/>
      <c r="P560" s="3037"/>
      <c r="Q560" s="3037"/>
      <c r="R560" s="3037"/>
      <c r="S560" s="3037"/>
      <c r="T560" s="3037"/>
      <c r="U560" s="3037"/>
      <c r="V560" s="3037"/>
      <c r="W560" s="3037"/>
      <c r="X560" s="3037"/>
      <c r="Y560" s="3037"/>
      <c r="Z560" s="3037"/>
      <c r="AA560" s="3037"/>
      <c r="AB560" s="3037"/>
      <c r="AC560" s="3037"/>
      <c r="AD560" s="3037"/>
      <c r="AE560" s="3037"/>
      <c r="AF560" s="3037"/>
      <c r="AG560" s="3037"/>
      <c r="AH560" s="3037"/>
      <c r="AI560" s="3037"/>
      <c r="AJ560" s="3037"/>
      <c r="AK560" s="1026"/>
      <c r="AL560" s="1026"/>
      <c r="AM560" s="1026"/>
      <c r="AN560" s="999"/>
      <c r="AQ560" s="1134"/>
      <c r="AR560" s="1001"/>
    </row>
    <row r="561" spans="1:46" s="942" customFormat="1" ht="12.75" customHeight="1">
      <c r="A561" s="1026"/>
      <c r="B561" s="1117"/>
      <c r="C561" s="3037"/>
      <c r="D561" s="3037"/>
      <c r="E561" s="3037"/>
      <c r="F561" s="3037"/>
      <c r="G561" s="3037"/>
      <c r="H561" s="3037"/>
      <c r="I561" s="3037"/>
      <c r="J561" s="3037"/>
      <c r="K561" s="3037"/>
      <c r="L561" s="3037"/>
      <c r="M561" s="3037"/>
      <c r="N561" s="3037"/>
      <c r="O561" s="3037"/>
      <c r="P561" s="3037"/>
      <c r="Q561" s="3037"/>
      <c r="R561" s="3037"/>
      <c r="S561" s="3037"/>
      <c r="T561" s="3037"/>
      <c r="U561" s="3037"/>
      <c r="V561" s="3037"/>
      <c r="W561" s="3037"/>
      <c r="X561" s="3037"/>
      <c r="Y561" s="3037"/>
      <c r="Z561" s="3037"/>
      <c r="AA561" s="3037"/>
      <c r="AB561" s="3037"/>
      <c r="AC561" s="3037"/>
      <c r="AD561" s="3037"/>
      <c r="AE561" s="3037"/>
      <c r="AF561" s="3037"/>
      <c r="AG561" s="3037"/>
      <c r="AH561" s="3037"/>
      <c r="AI561" s="3037"/>
      <c r="AJ561" s="3037"/>
      <c r="AK561" s="1026"/>
      <c r="AL561" s="1026"/>
      <c r="AM561" s="1026"/>
      <c r="AN561" s="999"/>
      <c r="AQ561" s="1134"/>
      <c r="AR561" s="1001"/>
    </row>
    <row r="562" spans="1:46" s="942" customFormat="1" ht="12.6" customHeight="1">
      <c r="A562" s="1026"/>
      <c r="B562" s="1117"/>
      <c r="C562" s="3037"/>
      <c r="D562" s="3037"/>
      <c r="E562" s="3037"/>
      <c r="F562" s="3037"/>
      <c r="G562" s="3037"/>
      <c r="H562" s="3037"/>
      <c r="I562" s="3037"/>
      <c r="J562" s="3037"/>
      <c r="K562" s="3037"/>
      <c r="L562" s="3037"/>
      <c r="M562" s="3037"/>
      <c r="N562" s="3037"/>
      <c r="O562" s="3037"/>
      <c r="P562" s="3037"/>
      <c r="Q562" s="3037"/>
      <c r="R562" s="3037"/>
      <c r="S562" s="3037"/>
      <c r="T562" s="3037"/>
      <c r="U562" s="3037"/>
      <c r="V562" s="3037"/>
      <c r="W562" s="3037"/>
      <c r="X562" s="3037"/>
      <c r="Y562" s="3037"/>
      <c r="Z562" s="3037"/>
      <c r="AA562" s="3037"/>
      <c r="AB562" s="3037"/>
      <c r="AC562" s="3037"/>
      <c r="AD562" s="3037"/>
      <c r="AE562" s="3037"/>
      <c r="AF562" s="3037"/>
      <c r="AG562" s="3037"/>
      <c r="AH562" s="3037"/>
      <c r="AI562" s="3037"/>
      <c r="AJ562" s="3037"/>
      <c r="AK562" s="1026"/>
      <c r="AL562" s="1026"/>
      <c r="AM562" s="1026"/>
      <c r="AN562" s="999"/>
      <c r="AQ562" s="1134"/>
      <c r="AR562" s="1134"/>
    </row>
    <row r="563" spans="1:46" s="942" customFormat="1" ht="25.15" customHeight="1">
      <c r="A563" s="1026"/>
      <c r="B563" s="1117"/>
      <c r="C563" s="3037" t="s">
        <v>1736</v>
      </c>
      <c r="D563" s="3037"/>
      <c r="E563" s="3037"/>
      <c r="F563" s="3037"/>
      <c r="G563" s="3037"/>
      <c r="H563" s="3037"/>
      <c r="I563" s="3037"/>
      <c r="J563" s="3037"/>
      <c r="K563" s="3037"/>
      <c r="L563" s="3037"/>
      <c r="M563" s="3037"/>
      <c r="N563" s="3037"/>
      <c r="O563" s="3037"/>
      <c r="P563" s="3037"/>
      <c r="Q563" s="3037"/>
      <c r="R563" s="3037"/>
      <c r="S563" s="3037"/>
      <c r="T563" s="3037"/>
      <c r="U563" s="3037"/>
      <c r="V563" s="3037"/>
      <c r="W563" s="3037"/>
      <c r="X563" s="3037"/>
      <c r="Y563" s="3037"/>
      <c r="Z563" s="3037"/>
      <c r="AA563" s="3037"/>
      <c r="AB563" s="3037"/>
      <c r="AC563" s="3037"/>
      <c r="AD563" s="3037"/>
      <c r="AE563" s="3037"/>
      <c r="AF563" s="3037"/>
      <c r="AG563" s="3037"/>
      <c r="AH563" s="3037"/>
      <c r="AI563" s="3037"/>
      <c r="AJ563" s="3037"/>
      <c r="AK563" s="1026"/>
      <c r="AL563" s="1026"/>
      <c r="AM563" s="1026"/>
      <c r="AN563" s="999"/>
      <c r="AQ563" s="1134"/>
      <c r="AR563" s="1134"/>
    </row>
    <row r="564" spans="1:46" s="942" customFormat="1" ht="12.6"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037" t="s">
        <v>2390</v>
      </c>
      <c r="D565" s="3037"/>
      <c r="E565" s="3037"/>
      <c r="F565" s="3037"/>
      <c r="G565" s="3037"/>
      <c r="H565" s="3037"/>
      <c r="I565" s="3037"/>
      <c r="J565" s="3037"/>
      <c r="K565" s="3037"/>
      <c r="L565" s="3037"/>
      <c r="M565" s="3037"/>
      <c r="N565" s="3037"/>
      <c r="O565" s="3037"/>
      <c r="P565" s="3037"/>
      <c r="Q565" s="3037"/>
      <c r="R565" s="3037"/>
      <c r="S565" s="3037"/>
      <c r="T565" s="3037"/>
      <c r="U565" s="3037"/>
      <c r="V565" s="3037"/>
      <c r="W565" s="3037"/>
      <c r="X565" s="3037"/>
      <c r="Y565" s="3037"/>
      <c r="Z565" s="3037"/>
      <c r="AA565" s="3037"/>
      <c r="AB565" s="3037"/>
      <c r="AC565" s="3037"/>
      <c r="AD565" s="3037"/>
      <c r="AE565" s="3037"/>
      <c r="AF565" s="3037"/>
      <c r="AG565" s="3037"/>
      <c r="AH565" s="3037"/>
      <c r="AI565" s="3037"/>
      <c r="AJ565" s="3037"/>
      <c r="AK565" s="1026"/>
      <c r="AL565" s="1026"/>
      <c r="AM565" s="1026"/>
      <c r="AN565" s="999"/>
      <c r="AQ565" s="1134"/>
      <c r="AR565" s="1134"/>
    </row>
    <row r="566" spans="1:46" s="942" customFormat="1" ht="30" customHeight="1">
      <c r="A566" s="1026"/>
      <c r="B566" s="1117"/>
      <c r="C566" s="3037"/>
      <c r="D566" s="3037"/>
      <c r="E566" s="3037"/>
      <c r="F566" s="3037"/>
      <c r="G566" s="3037"/>
      <c r="H566" s="3037"/>
      <c r="I566" s="3037"/>
      <c r="J566" s="3037"/>
      <c r="K566" s="3037"/>
      <c r="L566" s="3037"/>
      <c r="M566" s="3037"/>
      <c r="N566" s="3037"/>
      <c r="O566" s="3037"/>
      <c r="P566" s="3037"/>
      <c r="Q566" s="3037"/>
      <c r="R566" s="3037"/>
      <c r="S566" s="3037"/>
      <c r="T566" s="3037"/>
      <c r="U566" s="3037"/>
      <c r="V566" s="3037"/>
      <c r="W566" s="3037"/>
      <c r="X566" s="3037"/>
      <c r="Y566" s="3037"/>
      <c r="Z566" s="3037"/>
      <c r="AA566" s="3037"/>
      <c r="AB566" s="3037"/>
      <c r="AC566" s="3037"/>
      <c r="AD566" s="3037"/>
      <c r="AE566" s="3037"/>
      <c r="AF566" s="3037"/>
      <c r="AG566" s="3037"/>
      <c r="AH566" s="3037"/>
      <c r="AI566" s="3037"/>
      <c r="AJ566" s="3037"/>
      <c r="AK566" s="1026"/>
      <c r="AL566" s="1026"/>
      <c r="AM566" s="1026"/>
      <c r="AN566" s="999"/>
      <c r="AQ566" s="1001"/>
      <c r="AR566" s="1134"/>
    </row>
    <row r="567" spans="1:46" s="942" customFormat="1" ht="12.75" customHeight="1">
      <c r="A567" s="1026"/>
      <c r="B567" s="1117"/>
      <c r="C567" s="3037"/>
      <c r="D567" s="3037"/>
      <c r="E567" s="3037"/>
      <c r="F567" s="3037"/>
      <c r="G567" s="3037"/>
      <c r="H567" s="3037"/>
      <c r="I567" s="3037"/>
      <c r="J567" s="3037"/>
      <c r="K567" s="3037"/>
      <c r="L567" s="3037"/>
      <c r="M567" s="3037"/>
      <c r="N567" s="3037"/>
      <c r="O567" s="3037"/>
      <c r="P567" s="3037"/>
      <c r="Q567" s="3037"/>
      <c r="R567" s="3037"/>
      <c r="S567" s="3037"/>
      <c r="T567" s="3037"/>
      <c r="U567" s="3037"/>
      <c r="V567" s="3037"/>
      <c r="W567" s="3037"/>
      <c r="X567" s="3037"/>
      <c r="Y567" s="3037"/>
      <c r="Z567" s="3037"/>
      <c r="AA567" s="3037"/>
      <c r="AB567" s="3037"/>
      <c r="AC567" s="3037"/>
      <c r="AD567" s="3037"/>
      <c r="AE567" s="3037"/>
      <c r="AF567" s="3037"/>
      <c r="AG567" s="3037"/>
      <c r="AH567" s="3037"/>
      <c r="AI567" s="3037"/>
      <c r="AJ567" s="3037"/>
      <c r="AK567" s="1026"/>
      <c r="AL567" s="1026"/>
      <c r="AM567" s="1026"/>
      <c r="AN567" s="999"/>
      <c r="AQ567" s="1001"/>
      <c r="AR567" s="1134"/>
    </row>
    <row r="568" spans="1:46" s="942" customFormat="1" ht="12.75" customHeight="1">
      <c r="A568" s="1026"/>
      <c r="B568" s="1117"/>
      <c r="C568" s="3037" t="s">
        <v>1737</v>
      </c>
      <c r="D568" s="3037"/>
      <c r="E568" s="3037"/>
      <c r="F568" s="3037"/>
      <c r="G568" s="3037"/>
      <c r="H568" s="3037"/>
      <c r="I568" s="3037"/>
      <c r="J568" s="3037"/>
      <c r="K568" s="3037"/>
      <c r="L568" s="3037"/>
      <c r="M568" s="3037"/>
      <c r="N568" s="3037"/>
      <c r="O568" s="3037"/>
      <c r="P568" s="3037"/>
      <c r="Q568" s="3037"/>
      <c r="R568" s="3037"/>
      <c r="S568" s="3037"/>
      <c r="T568" s="3037"/>
      <c r="U568" s="3037"/>
      <c r="V568" s="3037"/>
      <c r="W568" s="3037"/>
      <c r="X568" s="3037"/>
      <c r="Y568" s="3037"/>
      <c r="Z568" s="3037"/>
      <c r="AA568" s="3037"/>
      <c r="AB568" s="3037"/>
      <c r="AC568" s="3037"/>
      <c r="AD568" s="3037"/>
      <c r="AE568" s="3037"/>
      <c r="AF568" s="3037"/>
      <c r="AG568" s="3037"/>
      <c r="AH568" s="3037"/>
      <c r="AI568" s="3037"/>
      <c r="AJ568" s="3037"/>
      <c r="AK568" s="1026"/>
      <c r="AL568" s="1026"/>
      <c r="AM568" s="1026"/>
      <c r="AN568" s="999"/>
      <c r="AQ568" s="1134"/>
      <c r="AR568" s="1134"/>
    </row>
    <row r="569" spans="1:46" s="942" customFormat="1" ht="12.75" customHeight="1">
      <c r="A569" s="1026"/>
      <c r="B569" s="1117"/>
      <c r="C569" s="3037"/>
      <c r="D569" s="3037"/>
      <c r="E569" s="3037"/>
      <c r="F569" s="3037"/>
      <c r="G569" s="3037"/>
      <c r="H569" s="3037"/>
      <c r="I569" s="3037"/>
      <c r="J569" s="3037"/>
      <c r="K569" s="3037"/>
      <c r="L569" s="3037"/>
      <c r="M569" s="3037"/>
      <c r="N569" s="3037"/>
      <c r="O569" s="3037"/>
      <c r="P569" s="3037"/>
      <c r="Q569" s="3037"/>
      <c r="R569" s="3037"/>
      <c r="S569" s="3037"/>
      <c r="T569" s="3037"/>
      <c r="U569" s="3037"/>
      <c r="V569" s="3037"/>
      <c r="W569" s="3037"/>
      <c r="X569" s="3037"/>
      <c r="Y569" s="3037"/>
      <c r="Z569" s="3037"/>
      <c r="AA569" s="3037"/>
      <c r="AB569" s="3037"/>
      <c r="AC569" s="3037"/>
      <c r="AD569" s="3037"/>
      <c r="AE569" s="3037"/>
      <c r="AF569" s="3037"/>
      <c r="AG569" s="3037"/>
      <c r="AH569" s="3037"/>
      <c r="AI569" s="3037"/>
      <c r="AJ569" s="3037"/>
      <c r="AK569" s="1026"/>
      <c r="AL569" s="1026"/>
      <c r="AM569" s="1026"/>
      <c r="AN569" s="999"/>
      <c r="AQ569" s="1134"/>
      <c r="AR569" s="1134"/>
    </row>
    <row r="570" spans="1:46" s="942" customFormat="1" ht="13.35" customHeight="1">
      <c r="A570" s="1026"/>
      <c r="B570" s="1117"/>
      <c r="C570" s="3037"/>
      <c r="D570" s="3037"/>
      <c r="E570" s="3037"/>
      <c r="F570" s="3037"/>
      <c r="G570" s="3037"/>
      <c r="H570" s="3037"/>
      <c r="I570" s="3037"/>
      <c r="J570" s="3037"/>
      <c r="K570" s="3037"/>
      <c r="L570" s="3037"/>
      <c r="M570" s="3037"/>
      <c r="N570" s="3037"/>
      <c r="O570" s="3037"/>
      <c r="P570" s="3037"/>
      <c r="Q570" s="3037"/>
      <c r="R570" s="3037"/>
      <c r="S570" s="3037"/>
      <c r="T570" s="3037"/>
      <c r="U570" s="3037"/>
      <c r="V570" s="3037"/>
      <c r="W570" s="3037"/>
      <c r="X570" s="3037"/>
      <c r="Y570" s="3037"/>
      <c r="Z570" s="3037"/>
      <c r="AA570" s="3037"/>
      <c r="AB570" s="3037"/>
      <c r="AC570" s="3037"/>
      <c r="AD570" s="3037"/>
      <c r="AE570" s="3037"/>
      <c r="AF570" s="3037"/>
      <c r="AG570" s="3037"/>
      <c r="AH570" s="3037"/>
      <c r="AI570" s="3037"/>
      <c r="AJ570" s="3037"/>
      <c r="AK570" s="1026"/>
      <c r="AL570" s="1026"/>
      <c r="AM570" s="1026"/>
      <c r="AN570" s="999"/>
      <c r="AQ570" s="1134"/>
      <c r="AR570" s="1134"/>
    </row>
    <row r="571" spans="1:46" s="942" customFormat="1" ht="12.75" customHeight="1">
      <c r="A571" s="1026"/>
      <c r="B571" s="1117"/>
      <c r="C571" s="3037"/>
      <c r="D571" s="3037"/>
      <c r="E571" s="3037"/>
      <c r="F571" s="3037"/>
      <c r="G571" s="3037"/>
      <c r="H571" s="3037"/>
      <c r="I571" s="3037"/>
      <c r="J571" s="3037"/>
      <c r="K571" s="3037"/>
      <c r="L571" s="3037"/>
      <c r="M571" s="3037"/>
      <c r="N571" s="3037"/>
      <c r="O571" s="3037"/>
      <c r="P571" s="3037"/>
      <c r="Q571" s="3037"/>
      <c r="R571" s="3037"/>
      <c r="S571" s="3037"/>
      <c r="T571" s="3037"/>
      <c r="U571" s="3037"/>
      <c r="V571" s="3037"/>
      <c r="W571" s="3037"/>
      <c r="X571" s="3037"/>
      <c r="Y571" s="3037"/>
      <c r="Z571" s="3037"/>
      <c r="AA571" s="3037"/>
      <c r="AB571" s="3037"/>
      <c r="AC571" s="3037"/>
      <c r="AD571" s="3037"/>
      <c r="AE571" s="3037"/>
      <c r="AF571" s="3037"/>
      <c r="AG571" s="3037"/>
      <c r="AH571" s="3037"/>
      <c r="AI571" s="3037"/>
      <c r="AJ571" s="3037"/>
      <c r="AK571" s="1026"/>
      <c r="AL571" s="1026"/>
      <c r="AM571" s="1026"/>
      <c r="AN571" s="999"/>
      <c r="AO571" s="1149"/>
      <c r="AP571" s="1149"/>
      <c r="AQ571" s="1134"/>
      <c r="AR571" s="1001"/>
    </row>
    <row r="572" spans="1:46" s="942" customFormat="1" ht="11.85" customHeight="1">
      <c r="A572" s="1026"/>
      <c r="B572" s="1117"/>
      <c r="C572" s="3037"/>
      <c r="D572" s="3037"/>
      <c r="E572" s="3037"/>
      <c r="F572" s="3037"/>
      <c r="G572" s="3037"/>
      <c r="H572" s="3037"/>
      <c r="I572" s="3037"/>
      <c r="J572" s="3037"/>
      <c r="K572" s="3037"/>
      <c r="L572" s="3037"/>
      <c r="M572" s="3037"/>
      <c r="N572" s="3037"/>
      <c r="O572" s="3037"/>
      <c r="P572" s="3037"/>
      <c r="Q572" s="3037"/>
      <c r="R572" s="3037"/>
      <c r="S572" s="3037"/>
      <c r="T572" s="3037"/>
      <c r="U572" s="3037"/>
      <c r="V572" s="3037"/>
      <c r="W572" s="3037"/>
      <c r="X572" s="3037"/>
      <c r="Y572" s="3037"/>
      <c r="Z572" s="3037"/>
      <c r="AA572" s="3037"/>
      <c r="AB572" s="3037"/>
      <c r="AC572" s="3037"/>
      <c r="AD572" s="3037"/>
      <c r="AE572" s="3037"/>
      <c r="AF572" s="3037"/>
      <c r="AG572" s="3037"/>
      <c r="AH572" s="3037"/>
      <c r="AI572" s="3037"/>
      <c r="AJ572" s="3037"/>
      <c r="AK572" s="1026"/>
      <c r="AL572" s="1026"/>
      <c r="AM572" s="1026"/>
      <c r="AN572" s="999"/>
      <c r="AO572" s="1150" t="s">
        <v>117</v>
      </c>
      <c r="AP572" s="1151">
        <f>IF(C596="Yes",5,0)</f>
        <v>5</v>
      </c>
      <c r="AQ572" s="1001"/>
      <c r="AR572" s="1001"/>
      <c r="AS572" s="931" t="s">
        <v>1738</v>
      </c>
    </row>
    <row r="573" spans="1:46" s="942" customFormat="1" ht="12.75" customHeight="1">
      <c r="A573" s="1026"/>
      <c r="B573" s="1117"/>
      <c r="C573" s="3037"/>
      <c r="D573" s="3037"/>
      <c r="E573" s="3037"/>
      <c r="F573" s="3037"/>
      <c r="G573" s="3037"/>
      <c r="H573" s="3037"/>
      <c r="I573" s="3037"/>
      <c r="J573" s="3037"/>
      <c r="K573" s="3037"/>
      <c r="L573" s="3037"/>
      <c r="M573" s="3037"/>
      <c r="N573" s="3037"/>
      <c r="O573" s="3037"/>
      <c r="P573" s="3037"/>
      <c r="Q573" s="3037"/>
      <c r="R573" s="3037"/>
      <c r="S573" s="3037"/>
      <c r="T573" s="3037"/>
      <c r="U573" s="3037"/>
      <c r="V573" s="3037"/>
      <c r="W573" s="3037"/>
      <c r="X573" s="3037"/>
      <c r="Y573" s="3037"/>
      <c r="Z573" s="3037"/>
      <c r="AA573" s="3037"/>
      <c r="AB573" s="3037"/>
      <c r="AC573" s="3037"/>
      <c r="AD573" s="3037"/>
      <c r="AE573" s="3037"/>
      <c r="AF573" s="3037"/>
      <c r="AG573" s="3037"/>
      <c r="AH573" s="3037"/>
      <c r="AI573" s="3037"/>
      <c r="AJ573" s="3037"/>
      <c r="AK573" s="1026"/>
      <c r="AL573" s="1026"/>
      <c r="AM573" s="1026"/>
      <c r="AN573" s="999"/>
      <c r="AO573" s="1150" t="s">
        <v>118</v>
      </c>
      <c r="AP573" s="1151">
        <f>IF(C604="Yes",5,0)</f>
        <v>0</v>
      </c>
      <c r="AQ573" s="1001"/>
      <c r="AR573" s="1001"/>
      <c r="AS573" s="3002">
        <f>IF(Application!D210="Non-Targeted",(SUM(AQ581+AQ590)),AS577)</f>
        <v>10</v>
      </c>
      <c r="AT573" s="3002"/>
    </row>
    <row r="574" spans="1:46" s="942" customFormat="1" ht="12.75" customHeight="1">
      <c r="A574" s="1026"/>
      <c r="B574" s="1117"/>
      <c r="C574" s="3037"/>
      <c r="D574" s="3037"/>
      <c r="E574" s="3037"/>
      <c r="F574" s="3037"/>
      <c r="G574" s="3037"/>
      <c r="H574" s="3037"/>
      <c r="I574" s="3037"/>
      <c r="J574" s="3037"/>
      <c r="K574" s="3037"/>
      <c r="L574" s="3037"/>
      <c r="M574" s="3037"/>
      <c r="N574" s="3037"/>
      <c r="O574" s="3037"/>
      <c r="P574" s="3037"/>
      <c r="Q574" s="3037"/>
      <c r="R574" s="3037"/>
      <c r="S574" s="3037"/>
      <c r="T574" s="3037"/>
      <c r="U574" s="3037"/>
      <c r="V574" s="3037"/>
      <c r="W574" s="3037"/>
      <c r="X574" s="3037"/>
      <c r="Y574" s="3037"/>
      <c r="Z574" s="3037"/>
      <c r="AA574" s="3037"/>
      <c r="AB574" s="3037"/>
      <c r="AC574" s="3037"/>
      <c r="AD574" s="3037"/>
      <c r="AE574" s="3037"/>
      <c r="AF574" s="3037"/>
      <c r="AG574" s="3037"/>
      <c r="AH574" s="3037"/>
      <c r="AI574" s="3037"/>
      <c r="AJ574" s="3037"/>
      <c r="AK574" s="1026"/>
      <c r="AL574" s="1026"/>
      <c r="AM574" s="1026"/>
      <c r="AN574" s="999"/>
      <c r="AO574" s="1150" t="s">
        <v>124</v>
      </c>
      <c r="AP574" s="1151">
        <f>IF(C612="Yes",7,0)</f>
        <v>0</v>
      </c>
      <c r="AS574" s="931" t="s">
        <v>1739</v>
      </c>
    </row>
    <row r="575" spans="1:46" s="942" customFormat="1" ht="12.75" customHeight="1">
      <c r="A575" s="1026"/>
      <c r="B575" s="1117"/>
      <c r="C575" s="3037"/>
      <c r="D575" s="3037"/>
      <c r="E575" s="3037"/>
      <c r="F575" s="3037"/>
      <c r="G575" s="3037"/>
      <c r="H575" s="3037"/>
      <c r="I575" s="3037"/>
      <c r="J575" s="3037"/>
      <c r="K575" s="3037"/>
      <c r="L575" s="3037"/>
      <c r="M575" s="3037"/>
      <c r="N575" s="3037"/>
      <c r="O575" s="3037"/>
      <c r="P575" s="3037"/>
      <c r="Q575" s="3037"/>
      <c r="R575" s="3037"/>
      <c r="S575" s="3037"/>
      <c r="T575" s="3037"/>
      <c r="U575" s="3037"/>
      <c r="V575" s="3037"/>
      <c r="W575" s="3037"/>
      <c r="X575" s="3037"/>
      <c r="Y575" s="3037"/>
      <c r="Z575" s="3037"/>
      <c r="AA575" s="3037"/>
      <c r="AB575" s="3037"/>
      <c r="AC575" s="3037"/>
      <c r="AD575" s="3037"/>
      <c r="AE575" s="3037"/>
      <c r="AF575" s="3037"/>
      <c r="AG575" s="3037"/>
      <c r="AH575" s="3037"/>
      <c r="AI575" s="3037"/>
      <c r="AJ575" s="3037"/>
      <c r="AK575" s="1026"/>
      <c r="AL575" s="1026"/>
      <c r="AM575" s="1026"/>
      <c r="AN575" s="999"/>
      <c r="AO575" s="999"/>
      <c r="AP575" s="1151">
        <f>IF(C614="Yes",5,0)</f>
        <v>0</v>
      </c>
      <c r="AS575" s="3002">
        <f>IF(AND(AQ581&gt;0,AQ590&gt;0),(AQ581+AQ590)/2,0)</f>
        <v>0</v>
      </c>
      <c r="AT575" s="3002"/>
    </row>
    <row r="576" spans="1:46" s="942" customFormat="1" ht="12.75" customHeight="1">
      <c r="A576" s="1026"/>
      <c r="B576" s="1117"/>
      <c r="C576" s="3037"/>
      <c r="D576" s="3037"/>
      <c r="E576" s="3037"/>
      <c r="F576" s="3037"/>
      <c r="G576" s="3037"/>
      <c r="H576" s="3037"/>
      <c r="I576" s="3037"/>
      <c r="J576" s="3037"/>
      <c r="K576" s="3037"/>
      <c r="L576" s="3037"/>
      <c r="M576" s="3037"/>
      <c r="N576" s="3037"/>
      <c r="O576" s="3037"/>
      <c r="P576" s="3037"/>
      <c r="Q576" s="3037"/>
      <c r="R576" s="3037"/>
      <c r="S576" s="3037"/>
      <c r="T576" s="3037"/>
      <c r="U576" s="3037"/>
      <c r="V576" s="3037"/>
      <c r="W576" s="3037"/>
      <c r="X576" s="3037"/>
      <c r="Y576" s="3037"/>
      <c r="Z576" s="3037"/>
      <c r="AA576" s="3037"/>
      <c r="AB576" s="3037"/>
      <c r="AC576" s="3037"/>
      <c r="AD576" s="3037"/>
      <c r="AE576" s="3037"/>
      <c r="AF576" s="3037"/>
      <c r="AG576" s="3037"/>
      <c r="AH576" s="3037"/>
      <c r="AI576" s="3037"/>
      <c r="AJ576" s="3037"/>
      <c r="AK576" s="1026"/>
      <c r="AL576" s="1026"/>
      <c r="AM576" s="1026"/>
      <c r="AN576" s="999"/>
      <c r="AO576" s="1150" t="s">
        <v>615</v>
      </c>
      <c r="AP576" s="1151">
        <f>IF(C622="Yes",5,0)</f>
        <v>0</v>
      </c>
      <c r="AQ576" s="1001"/>
      <c r="AR576" s="1001"/>
      <c r="AS576" s="931" t="s">
        <v>2413</v>
      </c>
    </row>
    <row r="577" spans="1:81" s="942" customFormat="1" ht="12.75" customHeight="1">
      <c r="A577" s="1026"/>
      <c r="B577" s="1117"/>
      <c r="C577" s="3144" t="s">
        <v>1740</v>
      </c>
      <c r="D577" s="3144"/>
      <c r="E577" s="3144"/>
      <c r="F577" s="3144"/>
      <c r="G577" s="3144"/>
      <c r="H577" s="3144"/>
      <c r="I577" s="3144"/>
      <c r="J577" s="3144"/>
      <c r="K577" s="3144"/>
      <c r="L577" s="3144"/>
      <c r="M577" s="3144"/>
      <c r="N577" s="3144"/>
      <c r="O577" s="3144"/>
      <c r="P577" s="3144"/>
      <c r="Q577" s="3144"/>
      <c r="R577" s="3144"/>
      <c r="S577" s="3144"/>
      <c r="T577" s="3144"/>
      <c r="U577" s="3144"/>
      <c r="V577" s="3144"/>
      <c r="W577" s="3144"/>
      <c r="X577" s="3144"/>
      <c r="Y577" s="3144"/>
      <c r="Z577" s="3144"/>
      <c r="AA577" s="3144"/>
      <c r="AB577" s="3144"/>
      <c r="AC577" s="3144"/>
      <c r="AD577" s="3144"/>
      <c r="AE577" s="3144"/>
      <c r="AF577" s="3144"/>
      <c r="AG577" s="3144"/>
      <c r="AH577" s="3144"/>
      <c r="AI577" s="3144"/>
      <c r="AJ577" s="3144"/>
      <c r="AK577" s="1026"/>
      <c r="AL577" s="1026"/>
      <c r="AM577" s="1026"/>
      <c r="AN577" s="999"/>
      <c r="AO577" s="999"/>
      <c r="AP577" s="1151">
        <f>IF(C624="Yes",3,0)</f>
        <v>0</v>
      </c>
      <c r="AS577" s="3002">
        <f>IF(AQ581=0,AQ590,AQ581)</f>
        <v>10</v>
      </c>
      <c r="AT577" s="3002"/>
    </row>
    <row r="578" spans="1:81" s="942" customFormat="1" ht="12.75" customHeight="1">
      <c r="A578" s="1026"/>
      <c r="B578" s="1117"/>
      <c r="C578" s="3144"/>
      <c r="D578" s="3144"/>
      <c r="E578" s="3144"/>
      <c r="F578" s="3144"/>
      <c r="G578" s="3144"/>
      <c r="H578" s="3144"/>
      <c r="I578" s="3144"/>
      <c r="J578" s="3144"/>
      <c r="K578" s="3144"/>
      <c r="L578" s="3144"/>
      <c r="M578" s="3144"/>
      <c r="N578" s="3144"/>
      <c r="O578" s="3144"/>
      <c r="P578" s="3144"/>
      <c r="Q578" s="3144"/>
      <c r="R578" s="3144"/>
      <c r="S578" s="3144"/>
      <c r="T578" s="3144"/>
      <c r="U578" s="3144"/>
      <c r="V578" s="3144"/>
      <c r="W578" s="3144"/>
      <c r="X578" s="3144"/>
      <c r="Y578" s="3144"/>
      <c r="Z578" s="3144"/>
      <c r="AA578" s="3144"/>
      <c r="AB578" s="3144"/>
      <c r="AC578" s="3144"/>
      <c r="AD578" s="3144"/>
      <c r="AE578" s="3144"/>
      <c r="AF578" s="3144"/>
      <c r="AG578" s="3144"/>
      <c r="AH578" s="3144"/>
      <c r="AI578" s="3144"/>
      <c r="AJ578" s="3144"/>
      <c r="AK578" s="1026"/>
      <c r="AL578" s="1026"/>
      <c r="AM578" s="1026"/>
      <c r="AN578" s="999"/>
      <c r="AO578" s="1150" t="s">
        <v>820</v>
      </c>
      <c r="AP578" s="1151">
        <f>IF(C627="Yes",5,0)</f>
        <v>0</v>
      </c>
    </row>
    <row r="579" spans="1:81" s="942" customFormat="1" ht="12.75" customHeight="1">
      <c r="A579" s="1026"/>
      <c r="B579" s="1117"/>
      <c r="C579" s="3144"/>
      <c r="D579" s="3144"/>
      <c r="E579" s="3144"/>
      <c r="F579" s="3144"/>
      <c r="G579" s="3144"/>
      <c r="H579" s="3144"/>
      <c r="I579" s="3144"/>
      <c r="J579" s="3144"/>
      <c r="K579" s="3144"/>
      <c r="L579" s="3144"/>
      <c r="M579" s="3144"/>
      <c r="N579" s="3144"/>
      <c r="O579" s="3144"/>
      <c r="P579" s="3144"/>
      <c r="Q579" s="3144"/>
      <c r="R579" s="3144"/>
      <c r="S579" s="3144"/>
      <c r="T579" s="3144"/>
      <c r="U579" s="3144"/>
      <c r="V579" s="3144"/>
      <c r="W579" s="3144"/>
      <c r="X579" s="3144"/>
      <c r="Y579" s="3144"/>
      <c r="Z579" s="3144"/>
      <c r="AA579" s="3144"/>
      <c r="AB579" s="3144"/>
      <c r="AC579" s="3144"/>
      <c r="AD579" s="3144"/>
      <c r="AE579" s="3144"/>
      <c r="AF579" s="3144"/>
      <c r="AG579" s="3144"/>
      <c r="AH579" s="3144"/>
      <c r="AI579" s="3144"/>
      <c r="AJ579" s="3144"/>
      <c r="AK579" s="1026"/>
      <c r="AL579" s="1026"/>
      <c r="AM579" s="1026"/>
      <c r="AN579" s="999"/>
      <c r="AO579" s="1150" t="s">
        <v>618</v>
      </c>
      <c r="AP579" s="1151">
        <f>IF(C636="Yes",5,0)</f>
        <v>5</v>
      </c>
    </row>
    <row r="580" spans="1:81" s="942" customFormat="1" ht="11.85" customHeight="1">
      <c r="A580" s="1026"/>
      <c r="B580" s="1117"/>
      <c r="C580" s="3144"/>
      <c r="D580" s="3144"/>
      <c r="E580" s="3144"/>
      <c r="F580" s="3144"/>
      <c r="G580" s="3144"/>
      <c r="H580" s="3144"/>
      <c r="I580" s="3144"/>
      <c r="J580" s="3144"/>
      <c r="K580" s="3144"/>
      <c r="L580" s="3144"/>
      <c r="M580" s="3144"/>
      <c r="N580" s="3144"/>
      <c r="O580" s="3144"/>
      <c r="P580" s="3144"/>
      <c r="Q580" s="3144"/>
      <c r="R580" s="3144"/>
      <c r="S580" s="3144"/>
      <c r="T580" s="3144"/>
      <c r="U580" s="3144"/>
      <c r="V580" s="3144"/>
      <c r="W580" s="3144"/>
      <c r="X580" s="3144"/>
      <c r="Y580" s="3144"/>
      <c r="Z580" s="3144"/>
      <c r="AA580" s="3144"/>
      <c r="AB580" s="3144"/>
      <c r="AC580" s="3144"/>
      <c r="AD580" s="3144"/>
      <c r="AE580" s="3144"/>
      <c r="AF580" s="3144"/>
      <c r="AG580" s="3144"/>
      <c r="AH580" s="3144"/>
      <c r="AI580" s="3144"/>
      <c r="AJ580" s="3144"/>
      <c r="AK580" s="1026"/>
      <c r="AL580" s="1026"/>
      <c r="AM580" s="1026"/>
      <c r="AN580" s="999"/>
      <c r="AO580" s="1152"/>
      <c r="AP580" s="1153">
        <f>IF(C638="Yes",3,0)</f>
        <v>0</v>
      </c>
    </row>
    <row r="581" spans="1:81" s="942" customFormat="1" ht="12.6" customHeight="1">
      <c r="A581" s="1026"/>
      <c r="B581" s="1117"/>
      <c r="C581" s="3144"/>
      <c r="D581" s="3144"/>
      <c r="E581" s="3144"/>
      <c r="F581" s="3144"/>
      <c r="G581" s="3144"/>
      <c r="H581" s="3144"/>
      <c r="I581" s="3144"/>
      <c r="J581" s="3144"/>
      <c r="K581" s="3144"/>
      <c r="L581" s="3144"/>
      <c r="M581" s="3144"/>
      <c r="N581" s="3144"/>
      <c r="O581" s="3144"/>
      <c r="P581" s="3144"/>
      <c r="Q581" s="3144"/>
      <c r="R581" s="3144"/>
      <c r="S581" s="3144"/>
      <c r="T581" s="3144"/>
      <c r="U581" s="3144"/>
      <c r="V581" s="3144"/>
      <c r="W581" s="3144"/>
      <c r="X581" s="3144"/>
      <c r="Y581" s="3144"/>
      <c r="Z581" s="3144"/>
      <c r="AA581" s="3144"/>
      <c r="AB581" s="3144"/>
      <c r="AC581" s="3144"/>
      <c r="AD581" s="3144"/>
      <c r="AE581" s="3144"/>
      <c r="AF581" s="3144"/>
      <c r="AG581" s="3144"/>
      <c r="AH581" s="3144"/>
      <c r="AI581" s="3144"/>
      <c r="AJ581" s="3144"/>
      <c r="AK581" s="1026"/>
      <c r="AL581" s="1026"/>
      <c r="AM581" s="1026"/>
      <c r="AN581" s="999"/>
      <c r="AO581" s="1154" t="s">
        <v>232</v>
      </c>
      <c r="AP581" s="1155">
        <f>SUM(AP572:AP580)</f>
        <v>10</v>
      </c>
      <c r="AQ581" s="3040">
        <f>IF(AP581&gt;0,AP581,0)</f>
        <v>10</v>
      </c>
      <c r="AR581" s="3040"/>
    </row>
    <row r="582" spans="1:81" s="942" customFormat="1" ht="12.75" customHeight="1">
      <c r="A582" s="1026"/>
      <c r="B582" s="1117"/>
      <c r="C582" s="3144"/>
      <c r="D582" s="3144"/>
      <c r="E582" s="3144"/>
      <c r="F582" s="3144"/>
      <c r="G582" s="3144"/>
      <c r="H582" s="3144"/>
      <c r="I582" s="3144"/>
      <c r="J582" s="3144"/>
      <c r="K582" s="3144"/>
      <c r="L582" s="3144"/>
      <c r="M582" s="3144"/>
      <c r="N582" s="3144"/>
      <c r="O582" s="3144"/>
      <c r="P582" s="3144"/>
      <c r="Q582" s="3144"/>
      <c r="R582" s="3144"/>
      <c r="S582" s="3144"/>
      <c r="T582" s="3144"/>
      <c r="U582" s="3144"/>
      <c r="V582" s="3144"/>
      <c r="W582" s="3144"/>
      <c r="X582" s="3144"/>
      <c r="Y582" s="3144"/>
      <c r="Z582" s="3144"/>
      <c r="AA582" s="3144"/>
      <c r="AB582" s="3144"/>
      <c r="AC582" s="3144"/>
      <c r="AD582" s="3144"/>
      <c r="AE582" s="3144"/>
      <c r="AF582" s="3144"/>
      <c r="AG582" s="3144"/>
      <c r="AH582" s="3144"/>
      <c r="AI582" s="3144"/>
      <c r="AJ582" s="3144"/>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486</v>
      </c>
      <c r="AP583" s="1151">
        <f>IF(C645="Yes",5,0)</f>
        <v>0</v>
      </c>
    </row>
    <row r="584" spans="1:81" s="942" customFormat="1" ht="12.75" customHeight="1">
      <c r="A584" s="1026"/>
      <c r="B584" s="1117"/>
      <c r="C584" s="3037" t="s">
        <v>1741</v>
      </c>
      <c r="D584" s="3037"/>
      <c r="E584" s="3037"/>
      <c r="F584" s="3037"/>
      <c r="G584" s="3037"/>
      <c r="H584" s="3037"/>
      <c r="I584" s="3037"/>
      <c r="J584" s="3037"/>
      <c r="K584" s="3037"/>
      <c r="L584" s="3037"/>
      <c r="M584" s="3037"/>
      <c r="N584" s="3037"/>
      <c r="O584" s="3037"/>
      <c r="P584" s="3037"/>
      <c r="Q584" s="3037"/>
      <c r="R584" s="3037"/>
      <c r="S584" s="3037"/>
      <c r="T584" s="3037"/>
      <c r="U584" s="3037"/>
      <c r="V584" s="3037"/>
      <c r="W584" s="3037"/>
      <c r="X584" s="3037"/>
      <c r="Y584" s="3037"/>
      <c r="Z584" s="3037"/>
      <c r="AA584" s="3037"/>
      <c r="AB584" s="3037"/>
      <c r="AC584" s="3037"/>
      <c r="AD584" s="3037"/>
      <c r="AE584" s="3037"/>
      <c r="AF584" s="3037"/>
      <c r="AG584" s="3037"/>
      <c r="AH584" s="3037"/>
      <c r="AI584" s="3037"/>
      <c r="AJ584" s="3037"/>
      <c r="AK584" s="1026"/>
      <c r="AL584" s="1026"/>
      <c r="AM584" s="1026"/>
      <c r="AN584" s="999"/>
      <c r="AO584" s="1150" t="s">
        <v>487</v>
      </c>
      <c r="AP584" s="1151">
        <f>IF(C657="Yes",5,0)</f>
        <v>0</v>
      </c>
    </row>
    <row r="585" spans="1:81" s="942" customFormat="1" ht="12.75" customHeight="1">
      <c r="A585" s="1026"/>
      <c r="B585" s="1117"/>
      <c r="C585" s="3037"/>
      <c r="D585" s="3037"/>
      <c r="E585" s="3037"/>
      <c r="F585" s="3037"/>
      <c r="G585" s="3037"/>
      <c r="H585" s="3037"/>
      <c r="I585" s="3037"/>
      <c r="J585" s="3037"/>
      <c r="K585" s="3037"/>
      <c r="L585" s="3037"/>
      <c r="M585" s="3037"/>
      <c r="N585" s="3037"/>
      <c r="O585" s="3037"/>
      <c r="P585" s="3037"/>
      <c r="Q585" s="3037"/>
      <c r="R585" s="3037"/>
      <c r="S585" s="3037"/>
      <c r="T585" s="3037"/>
      <c r="U585" s="3037"/>
      <c r="V585" s="3037"/>
      <c r="W585" s="3037"/>
      <c r="X585" s="3037"/>
      <c r="Y585" s="3037"/>
      <c r="Z585" s="3037"/>
      <c r="AA585" s="3037"/>
      <c r="AB585" s="3037"/>
      <c r="AC585" s="3037"/>
      <c r="AD585" s="3037"/>
      <c r="AE585" s="3037"/>
      <c r="AF585" s="3037"/>
      <c r="AG585" s="3037"/>
      <c r="AH585" s="3037"/>
      <c r="AI585" s="3037"/>
      <c r="AJ585" s="3037"/>
      <c r="AK585" s="1026"/>
      <c r="AL585" s="1026"/>
      <c r="AM585" s="1026"/>
      <c r="AN585" s="999"/>
      <c r="AO585" s="1150" t="s">
        <v>493</v>
      </c>
      <c r="AP585" s="1151">
        <f>IF(C664="Yes",5,0)</f>
        <v>0</v>
      </c>
    </row>
    <row r="586" spans="1:81" s="942" customFormat="1" ht="68.099999999999994" customHeight="1">
      <c r="A586" s="1026"/>
      <c r="B586" s="1117"/>
      <c r="C586" s="3037"/>
      <c r="D586" s="3037"/>
      <c r="E586" s="3037"/>
      <c r="F586" s="3037"/>
      <c r="G586" s="3037"/>
      <c r="H586" s="3037"/>
      <c r="I586" s="3037"/>
      <c r="J586" s="3037"/>
      <c r="K586" s="3037"/>
      <c r="L586" s="3037"/>
      <c r="M586" s="3037"/>
      <c r="N586" s="3037"/>
      <c r="O586" s="3037"/>
      <c r="P586" s="3037"/>
      <c r="Q586" s="3037"/>
      <c r="R586" s="3037"/>
      <c r="S586" s="3037"/>
      <c r="T586" s="3037"/>
      <c r="U586" s="3037"/>
      <c r="V586" s="3037"/>
      <c r="W586" s="3037"/>
      <c r="X586" s="3037"/>
      <c r="Y586" s="3037"/>
      <c r="Z586" s="3037"/>
      <c r="AA586" s="3037"/>
      <c r="AB586" s="3037"/>
      <c r="AC586" s="3037"/>
      <c r="AD586" s="3037"/>
      <c r="AE586" s="3037"/>
      <c r="AF586" s="3037"/>
      <c r="AG586" s="3037"/>
      <c r="AH586" s="3037"/>
      <c r="AI586" s="3037"/>
      <c r="AJ586" s="3037"/>
      <c r="AK586" s="1026"/>
      <c r="AL586" s="1026"/>
      <c r="AM586" s="1026"/>
      <c r="AN586" s="999"/>
      <c r="AO586" s="1150" t="s">
        <v>680</v>
      </c>
      <c r="AP586" s="1157">
        <f>IF(C668="Yes",5,0)</f>
        <v>0</v>
      </c>
      <c r="AQ586" s="1001"/>
      <c r="AR586" s="1001"/>
    </row>
    <row r="587" spans="1:81" s="942" customFormat="1" ht="12.6" customHeight="1">
      <c r="A587" s="1026"/>
      <c r="B587" s="1117"/>
      <c r="C587" s="1158" t="s">
        <v>1742</v>
      </c>
      <c r="AF587" s="1026"/>
      <c r="AG587" s="1026"/>
      <c r="AH587" s="1026"/>
      <c r="AI587" s="1026"/>
      <c r="AJ587" s="1026"/>
      <c r="AK587" s="1026"/>
      <c r="AL587" s="1026"/>
      <c r="AM587" s="1026"/>
      <c r="AN587" s="999"/>
      <c r="AO587" s="1150" t="s">
        <v>371</v>
      </c>
      <c r="AP587" s="1151">
        <f>IF(C672="Yes",5,0)</f>
        <v>0</v>
      </c>
    </row>
    <row r="588" spans="1:81" s="942" customFormat="1" ht="12.75" customHeight="1">
      <c r="A588" s="1026"/>
      <c r="B588" s="1117"/>
      <c r="C588" s="1159" t="s">
        <v>1743</v>
      </c>
      <c r="D588" s="1160"/>
      <c r="E588" s="1160"/>
      <c r="F588" s="1160"/>
      <c r="G588" s="1160"/>
      <c r="H588" s="1160"/>
      <c r="I588" s="1160"/>
      <c r="J588" s="1160"/>
      <c r="K588" s="1160"/>
      <c r="L588" s="1160"/>
      <c r="M588" s="1109"/>
      <c r="N588" s="1109"/>
      <c r="O588" s="1161"/>
      <c r="P588" s="1160"/>
      <c r="Q588" s="1160"/>
      <c r="R588" s="1109"/>
      <c r="S588" s="1109"/>
      <c r="T588" s="1160"/>
      <c r="U588" s="3038">
        <f>'Service Amenities Budget'!J10</f>
        <v>143</v>
      </c>
      <c r="V588" s="3038"/>
      <c r="W588" s="3038"/>
      <c r="X588" s="1160"/>
      <c r="Y588" s="1160"/>
      <c r="Z588" s="1160"/>
      <c r="AA588" s="1162"/>
      <c r="AB588" s="1163"/>
      <c r="AC588" s="1163"/>
      <c r="AD588" s="1163"/>
      <c r="AE588" s="1026"/>
      <c r="AF588" s="1026"/>
      <c r="AG588" s="1026"/>
      <c r="AH588" s="1026"/>
      <c r="AI588" s="1026"/>
      <c r="AJ588" s="1026"/>
      <c r="AK588" s="1026"/>
      <c r="AL588" s="1026"/>
      <c r="AM588" s="1026"/>
      <c r="AN588" s="999"/>
      <c r="AO588" s="1150" t="s">
        <v>372</v>
      </c>
      <c r="AP588" s="1151">
        <f>IF(C681="Yes",5,0)</f>
        <v>0</v>
      </c>
    </row>
    <row r="589" spans="1:81" s="942" customFormat="1" ht="12.75" customHeight="1">
      <c r="A589" s="1026"/>
      <c r="B589" s="1117"/>
      <c r="C589" s="1164" t="s">
        <v>1744</v>
      </c>
      <c r="D589" s="1165"/>
      <c r="E589" s="1165"/>
      <c r="F589" s="1165"/>
      <c r="G589" s="1165"/>
      <c r="H589" s="1165"/>
      <c r="I589" s="1165"/>
      <c r="J589" s="1165"/>
      <c r="K589" s="1165"/>
      <c r="L589" s="1165"/>
      <c r="M589" s="1149"/>
      <c r="N589" s="1149"/>
      <c r="O589" s="1165"/>
      <c r="P589" s="1165"/>
      <c r="Q589" s="1165"/>
      <c r="R589" s="1165"/>
      <c r="S589" s="1165"/>
      <c r="T589" s="1165"/>
      <c r="U589" s="3039">
        <f>'Service Amenities Budget'!J9</f>
        <v>0</v>
      </c>
      <c r="V589" s="3039"/>
      <c r="W589" s="3039"/>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232</v>
      </c>
      <c r="AP590" s="1169">
        <f>SUM(AP583:AP588)</f>
        <v>0</v>
      </c>
      <c r="AQ590" s="3040">
        <f>IF(AP590&gt;0,AP590,0)</f>
        <v>0</v>
      </c>
      <c r="AR590" s="3040"/>
    </row>
    <row r="591" spans="1:81" s="942" customFormat="1" ht="12.75" customHeight="1">
      <c r="A591" s="1026"/>
      <c r="B591" s="51"/>
      <c r="C591" s="1170" t="s">
        <v>1745</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1583</v>
      </c>
      <c r="F592" s="3032" t="s">
        <v>1746</v>
      </c>
      <c r="G592" s="3032"/>
      <c r="H592" s="3032"/>
      <c r="I592" s="3032"/>
      <c r="J592" s="3032"/>
      <c r="K592" s="3032"/>
      <c r="L592" s="3032"/>
      <c r="M592" s="3032"/>
      <c r="N592" s="3032"/>
      <c r="O592" s="3032"/>
      <c r="P592" s="3032"/>
      <c r="Q592" s="3032"/>
      <c r="R592" s="3032"/>
      <c r="S592" s="3032"/>
      <c r="T592" s="3032"/>
      <c r="U592" s="3032"/>
      <c r="V592" s="3032"/>
      <c r="W592" s="3032"/>
      <c r="X592" s="3032"/>
      <c r="Y592" s="3032"/>
      <c r="Z592" s="3032"/>
      <c r="AA592" s="3032"/>
      <c r="AB592" s="3032"/>
      <c r="AC592" s="3032"/>
      <c r="AD592" s="3032"/>
      <c r="AE592" s="3032"/>
      <c r="AF592" s="3032"/>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033"/>
      <c r="G593" s="3033"/>
      <c r="H593" s="3033"/>
      <c r="I593" s="3033"/>
      <c r="J593" s="3033"/>
      <c r="K593" s="3033"/>
      <c r="L593" s="3033"/>
      <c r="M593" s="3033"/>
      <c r="N593" s="3033"/>
      <c r="O593" s="3033"/>
      <c r="P593" s="3033"/>
      <c r="Q593" s="3033"/>
      <c r="R593" s="3033"/>
      <c r="S593" s="3033"/>
      <c r="T593" s="3033"/>
      <c r="U593" s="3033"/>
      <c r="V593" s="3033"/>
      <c r="W593" s="3033"/>
      <c r="X593" s="3033"/>
      <c r="Y593" s="3033"/>
      <c r="Z593" s="3033"/>
      <c r="AA593" s="3033"/>
      <c r="AB593" s="3033"/>
      <c r="AC593" s="3033"/>
      <c r="AD593" s="3033"/>
      <c r="AE593" s="3033"/>
      <c r="AF593" s="3033"/>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033"/>
      <c r="G594" s="3033"/>
      <c r="H594" s="3033"/>
      <c r="I594" s="3033"/>
      <c r="J594" s="3033"/>
      <c r="K594" s="3033"/>
      <c r="L594" s="3033"/>
      <c r="M594" s="3033"/>
      <c r="N594" s="3033"/>
      <c r="O594" s="3033"/>
      <c r="P594" s="3033"/>
      <c r="Q594" s="3033"/>
      <c r="R594" s="3033"/>
      <c r="S594" s="3033"/>
      <c r="T594" s="3033"/>
      <c r="U594" s="3033"/>
      <c r="V594" s="3033"/>
      <c r="W594" s="3033"/>
      <c r="X594" s="3033"/>
      <c r="Y594" s="3033"/>
      <c r="Z594" s="3033"/>
      <c r="AA594" s="3033"/>
      <c r="AB594" s="3033"/>
      <c r="AC594" s="3033"/>
      <c r="AD594" s="3033"/>
      <c r="AE594" s="3033"/>
      <c r="AF594" s="3033"/>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033"/>
      <c r="G595" s="3033"/>
      <c r="H595" s="3033"/>
      <c r="I595" s="3033"/>
      <c r="J595" s="3033"/>
      <c r="K595" s="3033"/>
      <c r="L595" s="3033"/>
      <c r="M595" s="3033"/>
      <c r="N595" s="3033"/>
      <c r="O595" s="3033"/>
      <c r="P595" s="3033"/>
      <c r="Q595" s="3033"/>
      <c r="R595" s="3033"/>
      <c r="S595" s="3033"/>
      <c r="T595" s="3033"/>
      <c r="U595" s="3033"/>
      <c r="V595" s="3033"/>
      <c r="W595" s="3033"/>
      <c r="X595" s="3033"/>
      <c r="Y595" s="3033"/>
      <c r="Z595" s="3033"/>
      <c r="AA595" s="3033"/>
      <c r="AB595" s="3033"/>
      <c r="AC595" s="3033"/>
      <c r="AD595" s="3033"/>
      <c r="AE595" s="3033"/>
      <c r="AF595" s="3033"/>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041" t="s">
        <v>577</v>
      </c>
      <c r="D596" s="3042"/>
      <c r="E596" s="1177"/>
      <c r="F596" s="1180" t="s">
        <v>1747</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043" t="s">
        <v>1748</v>
      </c>
      <c r="AG596" s="3043"/>
      <c r="AH596" s="3043"/>
      <c r="AI596" s="3043"/>
      <c r="AJ596" s="3043"/>
      <c r="AK596" s="3043"/>
      <c r="AL596" s="3044"/>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1585</v>
      </c>
      <c r="F599" s="3032" t="s">
        <v>1749</v>
      </c>
      <c r="G599" s="3032"/>
      <c r="H599" s="3032"/>
      <c r="I599" s="3032"/>
      <c r="J599" s="3032"/>
      <c r="K599" s="3032"/>
      <c r="L599" s="3032"/>
      <c r="M599" s="3032"/>
      <c r="N599" s="3032"/>
      <c r="O599" s="3032"/>
      <c r="P599" s="3032"/>
      <c r="Q599" s="3032"/>
      <c r="R599" s="3032"/>
      <c r="S599" s="3032"/>
      <c r="T599" s="3032"/>
      <c r="U599" s="3032"/>
      <c r="V599" s="3032"/>
      <c r="W599" s="3032"/>
      <c r="X599" s="3032"/>
      <c r="Y599" s="3032"/>
      <c r="Z599" s="3032"/>
      <c r="AA599" s="3032"/>
      <c r="AB599" s="3032"/>
      <c r="AC599" s="3032"/>
      <c r="AD599" s="3032"/>
      <c r="AE599" s="3032"/>
      <c r="AF599" s="3032"/>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033"/>
      <c r="G600" s="3033"/>
      <c r="H600" s="3033"/>
      <c r="I600" s="3033"/>
      <c r="J600" s="3033"/>
      <c r="K600" s="3033"/>
      <c r="L600" s="3033"/>
      <c r="M600" s="3033"/>
      <c r="N600" s="3033"/>
      <c r="O600" s="3033"/>
      <c r="P600" s="3033"/>
      <c r="Q600" s="3033"/>
      <c r="R600" s="3033"/>
      <c r="S600" s="3033"/>
      <c r="T600" s="3033"/>
      <c r="U600" s="3033"/>
      <c r="V600" s="3033"/>
      <c r="W600" s="3033"/>
      <c r="X600" s="3033"/>
      <c r="Y600" s="3033"/>
      <c r="Z600" s="3033"/>
      <c r="AA600" s="3033"/>
      <c r="AB600" s="3033"/>
      <c r="AC600" s="3033"/>
      <c r="AD600" s="3033"/>
      <c r="AE600" s="3033"/>
      <c r="AF600" s="3033"/>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033"/>
      <c r="G601" s="3033"/>
      <c r="H601" s="3033"/>
      <c r="I601" s="3033"/>
      <c r="J601" s="3033"/>
      <c r="K601" s="3033"/>
      <c r="L601" s="3033"/>
      <c r="M601" s="3033"/>
      <c r="N601" s="3033"/>
      <c r="O601" s="3033"/>
      <c r="P601" s="3033"/>
      <c r="Q601" s="3033"/>
      <c r="R601" s="3033"/>
      <c r="S601" s="3033"/>
      <c r="T601" s="3033"/>
      <c r="U601" s="3033"/>
      <c r="V601" s="3033"/>
      <c r="W601" s="3033"/>
      <c r="X601" s="3033"/>
      <c r="Y601" s="3033"/>
      <c r="Z601" s="3033"/>
      <c r="AA601" s="3033"/>
      <c r="AB601" s="3033"/>
      <c r="AC601" s="3033"/>
      <c r="AD601" s="3033"/>
      <c r="AE601" s="3033"/>
      <c r="AF601" s="3033"/>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033"/>
      <c r="G602" s="3033"/>
      <c r="H602" s="3033"/>
      <c r="I602" s="3033"/>
      <c r="J602" s="3033"/>
      <c r="K602" s="3033"/>
      <c r="L602" s="3033"/>
      <c r="M602" s="3033"/>
      <c r="N602" s="3033"/>
      <c r="O602" s="3033"/>
      <c r="P602" s="3033"/>
      <c r="Q602" s="3033"/>
      <c r="R602" s="3033"/>
      <c r="S602" s="3033"/>
      <c r="T602" s="3033"/>
      <c r="U602" s="3033"/>
      <c r="V602" s="3033"/>
      <c r="W602" s="3033"/>
      <c r="X602" s="3033"/>
      <c r="Y602" s="3033"/>
      <c r="Z602" s="3033"/>
      <c r="AA602" s="3033"/>
      <c r="AB602" s="3033"/>
      <c r="AC602" s="3033"/>
      <c r="AD602" s="3033"/>
      <c r="AE602" s="3033"/>
      <c r="AF602" s="3033"/>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033"/>
      <c r="G603" s="3033"/>
      <c r="H603" s="3033"/>
      <c r="I603" s="3033"/>
      <c r="J603" s="3033"/>
      <c r="K603" s="3033"/>
      <c r="L603" s="3033"/>
      <c r="M603" s="3033"/>
      <c r="N603" s="3033"/>
      <c r="O603" s="3033"/>
      <c r="P603" s="3033"/>
      <c r="Q603" s="3033"/>
      <c r="R603" s="3033"/>
      <c r="S603" s="3033"/>
      <c r="T603" s="3033"/>
      <c r="U603" s="3033"/>
      <c r="V603" s="3033"/>
      <c r="W603" s="3033"/>
      <c r="X603" s="3033"/>
      <c r="Y603" s="3033"/>
      <c r="Z603" s="3033"/>
      <c r="AA603" s="3033"/>
      <c r="AB603" s="3033"/>
      <c r="AC603" s="3033"/>
      <c r="AD603" s="3033"/>
      <c r="AE603" s="3033"/>
      <c r="AF603" s="3033"/>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041" t="s">
        <v>625</v>
      </c>
      <c r="D604" s="3042"/>
      <c r="E604" s="1145"/>
      <c r="F604" s="1180" t="s">
        <v>1750</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043" t="s">
        <v>1748</v>
      </c>
      <c r="AG604" s="3043"/>
      <c r="AH604" s="3043"/>
      <c r="AI604" s="3043"/>
      <c r="AJ604" s="3043"/>
      <c r="AK604" s="3043"/>
      <c r="AL604" s="3044"/>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1588</v>
      </c>
      <c r="F607" s="3032" t="s">
        <v>1751</v>
      </c>
      <c r="G607" s="3032"/>
      <c r="H607" s="3032"/>
      <c r="I607" s="3032"/>
      <c r="J607" s="3032"/>
      <c r="K607" s="3032"/>
      <c r="L607" s="3032"/>
      <c r="M607" s="3032"/>
      <c r="N607" s="3032"/>
      <c r="O607" s="3032"/>
      <c r="P607" s="3032"/>
      <c r="Q607" s="3032"/>
      <c r="R607" s="3032"/>
      <c r="S607" s="3032"/>
      <c r="T607" s="3032"/>
      <c r="U607" s="3032"/>
      <c r="V607" s="3032"/>
      <c r="W607" s="3032"/>
      <c r="X607" s="3032"/>
      <c r="Y607" s="3032"/>
      <c r="Z607" s="3032"/>
      <c r="AA607" s="3032"/>
      <c r="AB607" s="3032"/>
      <c r="AC607" s="3032"/>
      <c r="AD607" s="3032"/>
      <c r="AE607" s="3032"/>
      <c r="AF607" s="3032"/>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033"/>
      <c r="G608" s="3033"/>
      <c r="H608" s="3033"/>
      <c r="I608" s="3033"/>
      <c r="J608" s="3033"/>
      <c r="K608" s="3033"/>
      <c r="L608" s="3033"/>
      <c r="M608" s="3033"/>
      <c r="N608" s="3033"/>
      <c r="O608" s="3033"/>
      <c r="P608" s="3033"/>
      <c r="Q608" s="3033"/>
      <c r="R608" s="3033"/>
      <c r="S608" s="3033"/>
      <c r="T608" s="3033"/>
      <c r="U608" s="3033"/>
      <c r="V608" s="3033"/>
      <c r="W608" s="3033"/>
      <c r="X608" s="3033"/>
      <c r="Y608" s="3033"/>
      <c r="Z608" s="3033"/>
      <c r="AA608" s="3033"/>
      <c r="AB608" s="3033"/>
      <c r="AC608" s="3033"/>
      <c r="AD608" s="3033"/>
      <c r="AE608" s="3033"/>
      <c r="AF608" s="3033"/>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033"/>
      <c r="G609" s="3033"/>
      <c r="H609" s="3033"/>
      <c r="I609" s="3033"/>
      <c r="J609" s="3033"/>
      <c r="K609" s="3033"/>
      <c r="L609" s="3033"/>
      <c r="M609" s="3033"/>
      <c r="N609" s="3033"/>
      <c r="O609" s="3033"/>
      <c r="P609" s="3033"/>
      <c r="Q609" s="3033"/>
      <c r="R609" s="3033"/>
      <c r="S609" s="3033"/>
      <c r="T609" s="3033"/>
      <c r="U609" s="3033"/>
      <c r="V609" s="3033"/>
      <c r="W609" s="3033"/>
      <c r="X609" s="3033"/>
      <c r="Y609" s="3033"/>
      <c r="Z609" s="3033"/>
      <c r="AA609" s="3033"/>
      <c r="AB609" s="3033"/>
      <c r="AC609" s="3033"/>
      <c r="AD609" s="3033"/>
      <c r="AE609" s="3033"/>
      <c r="AF609" s="3033"/>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033"/>
      <c r="G610" s="3033"/>
      <c r="H610" s="3033"/>
      <c r="I610" s="3033"/>
      <c r="J610" s="3033"/>
      <c r="K610" s="3033"/>
      <c r="L610" s="3033"/>
      <c r="M610" s="3033"/>
      <c r="N610" s="3033"/>
      <c r="O610" s="3033"/>
      <c r="P610" s="3033"/>
      <c r="Q610" s="3033"/>
      <c r="R610" s="3033"/>
      <c r="S610" s="3033"/>
      <c r="T610" s="3033"/>
      <c r="U610" s="3033"/>
      <c r="V610" s="3033"/>
      <c r="W610" s="3033"/>
      <c r="X610" s="3033"/>
      <c r="Y610" s="3033"/>
      <c r="Z610" s="3033"/>
      <c r="AA610" s="3033"/>
      <c r="AB610" s="3033"/>
      <c r="AC610" s="3033"/>
      <c r="AD610" s="3033"/>
      <c r="AE610" s="3033"/>
      <c r="AF610" s="3033"/>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033"/>
      <c r="G611" s="3033"/>
      <c r="H611" s="3033"/>
      <c r="I611" s="3033"/>
      <c r="J611" s="3033"/>
      <c r="K611" s="3033"/>
      <c r="L611" s="3033"/>
      <c r="M611" s="3033"/>
      <c r="N611" s="3033"/>
      <c r="O611" s="3033"/>
      <c r="P611" s="3033"/>
      <c r="Q611" s="3033"/>
      <c r="R611" s="3033"/>
      <c r="S611" s="3033"/>
      <c r="T611" s="3033"/>
      <c r="U611" s="3033"/>
      <c r="V611" s="3033"/>
      <c r="W611" s="3033"/>
      <c r="X611" s="3033"/>
      <c r="Y611" s="3033"/>
      <c r="Z611" s="3033"/>
      <c r="AA611" s="3033"/>
      <c r="AB611" s="3033"/>
      <c r="AC611" s="3033"/>
      <c r="AD611" s="3033"/>
      <c r="AE611" s="3033"/>
      <c r="AF611" s="3033"/>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041" t="s">
        <v>625</v>
      </c>
      <c r="D612" s="3042"/>
      <c r="E612" s="1145"/>
      <c r="F612" s="1180" t="s">
        <v>1752</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043" t="s">
        <v>1753</v>
      </c>
      <c r="AG612" s="3043"/>
      <c r="AH612" s="3043"/>
      <c r="AI612" s="3043"/>
      <c r="AJ612" s="3043"/>
      <c r="AK612" s="3043"/>
      <c r="AL612" s="3044"/>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041" t="s">
        <v>625</v>
      </c>
      <c r="D614" s="3042"/>
      <c r="E614" s="1145"/>
      <c r="F614" s="1199" t="s">
        <v>1754</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043" t="s">
        <v>1748</v>
      </c>
      <c r="AG614" s="3043"/>
      <c r="AH614" s="3043"/>
      <c r="AI614" s="3043"/>
      <c r="AJ614" s="3043"/>
      <c r="AK614" s="3043"/>
      <c r="AL614" s="3044"/>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1755</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1756</v>
      </c>
      <c r="F618" s="3032" t="s">
        <v>1757</v>
      </c>
      <c r="G618" s="3032"/>
      <c r="H618" s="3032"/>
      <c r="I618" s="3032"/>
      <c r="J618" s="3032"/>
      <c r="K618" s="3032"/>
      <c r="L618" s="3032"/>
      <c r="M618" s="3032"/>
      <c r="N618" s="3032"/>
      <c r="O618" s="3032"/>
      <c r="P618" s="3032"/>
      <c r="Q618" s="3032"/>
      <c r="R618" s="3032"/>
      <c r="S618" s="3032"/>
      <c r="T618" s="3032"/>
      <c r="U618" s="3032"/>
      <c r="V618" s="3032"/>
      <c r="W618" s="3032"/>
      <c r="X618" s="3032"/>
      <c r="Y618" s="3032"/>
      <c r="Z618" s="3032"/>
      <c r="AA618" s="3032"/>
      <c r="AB618" s="3032"/>
      <c r="AC618" s="3032"/>
      <c r="AD618" s="3032"/>
      <c r="AE618" s="3032"/>
      <c r="AF618" s="3032"/>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033"/>
      <c r="G619" s="3033"/>
      <c r="H619" s="3033"/>
      <c r="I619" s="3033"/>
      <c r="J619" s="3033"/>
      <c r="K619" s="3033"/>
      <c r="L619" s="3033"/>
      <c r="M619" s="3033"/>
      <c r="N619" s="3033"/>
      <c r="O619" s="3033"/>
      <c r="P619" s="3033"/>
      <c r="Q619" s="3033"/>
      <c r="R619" s="3033"/>
      <c r="S619" s="3033"/>
      <c r="T619" s="3033"/>
      <c r="U619" s="3033"/>
      <c r="V619" s="3033"/>
      <c r="W619" s="3033"/>
      <c r="X619" s="3033"/>
      <c r="Y619" s="3033"/>
      <c r="Z619" s="3033"/>
      <c r="AA619" s="3033"/>
      <c r="AB619" s="3033"/>
      <c r="AC619" s="3033"/>
      <c r="AD619" s="3033"/>
      <c r="AE619" s="3033"/>
      <c r="AF619" s="3033"/>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033"/>
      <c r="G620" s="3033"/>
      <c r="H620" s="3033"/>
      <c r="I620" s="3033"/>
      <c r="J620" s="3033"/>
      <c r="K620" s="3033"/>
      <c r="L620" s="3033"/>
      <c r="M620" s="3033"/>
      <c r="N620" s="3033"/>
      <c r="O620" s="3033"/>
      <c r="P620" s="3033"/>
      <c r="Q620" s="3033"/>
      <c r="R620" s="3033"/>
      <c r="S620" s="3033"/>
      <c r="T620" s="3033"/>
      <c r="U620" s="3033"/>
      <c r="V620" s="3033"/>
      <c r="W620" s="3033"/>
      <c r="X620" s="3033"/>
      <c r="Y620" s="3033"/>
      <c r="Z620" s="3033"/>
      <c r="AA620" s="3033"/>
      <c r="AB620" s="3033"/>
      <c r="AC620" s="3033"/>
      <c r="AD620" s="3033"/>
      <c r="AE620" s="3033"/>
      <c r="AF620" s="3033"/>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033"/>
      <c r="G621" s="3033"/>
      <c r="H621" s="3033"/>
      <c r="I621" s="3033"/>
      <c r="J621" s="3033"/>
      <c r="K621" s="3033"/>
      <c r="L621" s="3033"/>
      <c r="M621" s="3033"/>
      <c r="N621" s="3033"/>
      <c r="O621" s="3033"/>
      <c r="P621" s="3033"/>
      <c r="Q621" s="3033"/>
      <c r="R621" s="3033"/>
      <c r="S621" s="3033"/>
      <c r="T621" s="3033"/>
      <c r="U621" s="3033"/>
      <c r="V621" s="3033"/>
      <c r="W621" s="3033"/>
      <c r="X621" s="3033"/>
      <c r="Y621" s="3033"/>
      <c r="Z621" s="3033"/>
      <c r="AA621" s="3033"/>
      <c r="AB621" s="3033"/>
      <c r="AC621" s="3033"/>
      <c r="AD621" s="3033"/>
      <c r="AE621" s="3033"/>
      <c r="AF621" s="3033"/>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041" t="s">
        <v>625</v>
      </c>
      <c r="D622" s="3042"/>
      <c r="E622" s="1145"/>
      <c r="F622" s="1180" t="s">
        <v>1758</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043" t="s">
        <v>1748</v>
      </c>
      <c r="AG622" s="3043"/>
      <c r="AH622" s="3043"/>
      <c r="AI622" s="3043"/>
      <c r="AJ622" s="3043"/>
      <c r="AK622" s="3043"/>
      <c r="AL622" s="3044"/>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041" t="s">
        <v>625</v>
      </c>
      <c r="D624" s="3042"/>
      <c r="E624" s="1177"/>
      <c r="F624" s="1180" t="s">
        <v>1759</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043" t="s">
        <v>1760</v>
      </c>
      <c r="AG624" s="3043"/>
      <c r="AH624" s="3043"/>
      <c r="AI624" s="3043"/>
      <c r="AJ624" s="3043"/>
      <c r="AK624" s="3043"/>
      <c r="AL624" s="3044"/>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041" t="s">
        <v>625</v>
      </c>
      <c r="D627" s="3042"/>
      <c r="E627" s="1173" t="s">
        <v>1761</v>
      </c>
      <c r="F627" s="3032" t="s">
        <v>1762</v>
      </c>
      <c r="G627" s="3032"/>
      <c r="H627" s="3032"/>
      <c r="I627" s="3032"/>
      <c r="J627" s="3032"/>
      <c r="K627" s="3032"/>
      <c r="L627" s="3032"/>
      <c r="M627" s="3032"/>
      <c r="N627" s="3032"/>
      <c r="O627" s="3032"/>
      <c r="P627" s="3032"/>
      <c r="Q627" s="3032"/>
      <c r="R627" s="3032"/>
      <c r="S627" s="3032"/>
      <c r="T627" s="3032"/>
      <c r="U627" s="3032"/>
      <c r="V627" s="3032"/>
      <c r="W627" s="3032"/>
      <c r="X627" s="3032"/>
      <c r="Y627" s="3032"/>
      <c r="Z627" s="3032"/>
      <c r="AA627" s="3032"/>
      <c r="AB627" s="3032"/>
      <c r="AC627" s="3032"/>
      <c r="AD627" s="3032"/>
      <c r="AE627" s="3032"/>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033"/>
      <c r="G628" s="3033"/>
      <c r="H628" s="3033"/>
      <c r="I628" s="3033"/>
      <c r="J628" s="3033"/>
      <c r="K628" s="3033"/>
      <c r="L628" s="3033"/>
      <c r="M628" s="3033"/>
      <c r="N628" s="3033"/>
      <c r="O628" s="3033"/>
      <c r="P628" s="3033"/>
      <c r="Q628" s="3033"/>
      <c r="R628" s="3033"/>
      <c r="S628" s="3033"/>
      <c r="T628" s="3033"/>
      <c r="U628" s="3033"/>
      <c r="V628" s="3033"/>
      <c r="W628" s="3033"/>
      <c r="X628" s="3033"/>
      <c r="Y628" s="3033"/>
      <c r="Z628" s="3033"/>
      <c r="AA628" s="3033"/>
      <c r="AB628" s="3033"/>
      <c r="AC628" s="3033"/>
      <c r="AD628" s="3033"/>
      <c r="AE628" s="3033"/>
      <c r="AF628" s="3140" t="s">
        <v>1748</v>
      </c>
      <c r="AG628" s="3140"/>
      <c r="AH628" s="3140"/>
      <c r="AI628" s="3140"/>
      <c r="AJ628" s="3140"/>
      <c r="AK628" s="3140"/>
      <c r="AL628" s="3141"/>
      <c r="AM628" s="1133"/>
      <c r="AN628" s="999"/>
      <c r="BS628" s="1133"/>
      <c r="BT628" s="1133"/>
      <c r="BY628" s="1133"/>
      <c r="BZ628" s="1133"/>
      <c r="CA628" s="1133"/>
      <c r="CB628" s="1133"/>
      <c r="CC628" s="1133"/>
    </row>
    <row r="629" spans="1:81" s="942" customFormat="1" ht="12.75" customHeight="1">
      <c r="A629" s="926"/>
      <c r="B629" s="51"/>
      <c r="C629" s="1191"/>
      <c r="D629" s="112"/>
      <c r="E629" s="1145"/>
      <c r="F629" s="3033"/>
      <c r="G629" s="3033"/>
      <c r="H629" s="3033"/>
      <c r="I629" s="3033"/>
      <c r="J629" s="3033"/>
      <c r="K629" s="3033"/>
      <c r="L629" s="3033"/>
      <c r="M629" s="3033"/>
      <c r="N629" s="3033"/>
      <c r="O629" s="3033"/>
      <c r="P629" s="3033"/>
      <c r="Q629" s="3033"/>
      <c r="R629" s="3033"/>
      <c r="S629" s="3033"/>
      <c r="T629" s="3033"/>
      <c r="U629" s="3033"/>
      <c r="V629" s="3033"/>
      <c r="W629" s="3033"/>
      <c r="X629" s="3033"/>
      <c r="Y629" s="3033"/>
      <c r="Z629" s="3033"/>
      <c r="AA629" s="3033"/>
      <c r="AB629" s="3033"/>
      <c r="AC629" s="3033"/>
      <c r="AD629" s="3033"/>
      <c r="AE629" s="3033"/>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1763</v>
      </c>
      <c r="F632" s="3138" t="s">
        <v>1764</v>
      </c>
      <c r="G632" s="3138"/>
      <c r="H632" s="3138"/>
      <c r="I632" s="3138"/>
      <c r="J632" s="3138"/>
      <c r="K632" s="3138"/>
      <c r="L632" s="3138"/>
      <c r="M632" s="3138"/>
      <c r="N632" s="3138"/>
      <c r="O632" s="3138"/>
      <c r="P632" s="3138"/>
      <c r="Q632" s="3138"/>
      <c r="R632" s="3138"/>
      <c r="S632" s="3138"/>
      <c r="T632" s="3138"/>
      <c r="U632" s="3138"/>
      <c r="V632" s="3138"/>
      <c r="W632" s="3138"/>
      <c r="X632" s="3138"/>
      <c r="Y632" s="3138"/>
      <c r="Z632" s="3138"/>
      <c r="AA632" s="3138"/>
      <c r="AB632" s="3138"/>
      <c r="AC632" s="3138"/>
      <c r="AD632" s="3138"/>
      <c r="AE632" s="3138"/>
      <c r="AF632" s="1210"/>
      <c r="AG632" s="1210"/>
      <c r="AH632" s="1210"/>
      <c r="AI632" s="1210"/>
      <c r="AJ632" s="1210"/>
      <c r="AK632" s="1210"/>
      <c r="AL632" s="1211"/>
      <c r="AM632" s="1133"/>
    </row>
    <row r="633" spans="1:81">
      <c r="A633" s="926"/>
      <c r="C633" s="1191"/>
      <c r="D633" s="112"/>
      <c r="E633" s="1145"/>
      <c r="F633" s="3139"/>
      <c r="G633" s="3139"/>
      <c r="H633" s="3139"/>
      <c r="I633" s="3139"/>
      <c r="J633" s="3139"/>
      <c r="K633" s="3139"/>
      <c r="L633" s="3139"/>
      <c r="M633" s="3139"/>
      <c r="N633" s="3139"/>
      <c r="O633" s="3139"/>
      <c r="P633" s="3139"/>
      <c r="Q633" s="3139"/>
      <c r="R633" s="3139"/>
      <c r="S633" s="3139"/>
      <c r="T633" s="3139"/>
      <c r="U633" s="3139"/>
      <c r="V633" s="3139"/>
      <c r="W633" s="3139"/>
      <c r="X633" s="3139"/>
      <c r="Y633" s="3139"/>
      <c r="Z633" s="3139"/>
      <c r="AA633" s="3139"/>
      <c r="AB633" s="3139"/>
      <c r="AC633" s="3139"/>
      <c r="AD633" s="3139"/>
      <c r="AE633" s="3139"/>
      <c r="AF633" s="1212"/>
      <c r="AG633" s="990"/>
      <c r="AH633" s="1024"/>
      <c r="AI633" s="1024"/>
      <c r="AJ633" s="1024"/>
      <c r="AK633" s="1024"/>
      <c r="AL633" s="1192"/>
      <c r="AM633" s="1133"/>
    </row>
    <row r="634" spans="1:81" s="942" customFormat="1" ht="12.75" customHeight="1">
      <c r="A634" s="926"/>
      <c r="B634" s="51"/>
      <c r="C634" s="1191"/>
      <c r="D634" s="112"/>
      <c r="E634" s="1145"/>
      <c r="F634" s="3139"/>
      <c r="G634" s="3139"/>
      <c r="H634" s="3139"/>
      <c r="I634" s="3139"/>
      <c r="J634" s="3139"/>
      <c r="K634" s="3139"/>
      <c r="L634" s="3139"/>
      <c r="M634" s="3139"/>
      <c r="N634" s="3139"/>
      <c r="O634" s="3139"/>
      <c r="P634" s="3139"/>
      <c r="Q634" s="3139"/>
      <c r="R634" s="3139"/>
      <c r="S634" s="3139"/>
      <c r="T634" s="3139"/>
      <c r="U634" s="3139"/>
      <c r="V634" s="3139"/>
      <c r="W634" s="3139"/>
      <c r="X634" s="3139"/>
      <c r="Y634" s="3139"/>
      <c r="Z634" s="3139"/>
      <c r="AA634" s="3139"/>
      <c r="AB634" s="3139"/>
      <c r="AC634" s="3139"/>
      <c r="AD634" s="3139"/>
      <c r="AE634" s="3139"/>
      <c r="AF634" s="1024"/>
      <c r="AG634" s="1024"/>
      <c r="AH634" s="1024"/>
      <c r="AI634" s="1024"/>
      <c r="AJ634" s="1024"/>
      <c r="AK634" s="1024"/>
      <c r="AL634" s="1192"/>
      <c r="AM634" s="1133"/>
      <c r="AN634" s="999"/>
    </row>
    <row r="635" spans="1:81" s="942" customFormat="1" ht="12.75" customHeight="1">
      <c r="A635" s="926"/>
      <c r="B635" s="51"/>
      <c r="C635" s="1200"/>
      <c r="D635" s="1024"/>
      <c r="E635" s="1024"/>
      <c r="F635" s="3139"/>
      <c r="G635" s="3139"/>
      <c r="H635" s="3139"/>
      <c r="I635" s="3139"/>
      <c r="J635" s="3139"/>
      <c r="K635" s="3139"/>
      <c r="L635" s="3139"/>
      <c r="M635" s="3139"/>
      <c r="N635" s="3139"/>
      <c r="O635" s="3139"/>
      <c r="P635" s="3139"/>
      <c r="Q635" s="3139"/>
      <c r="R635" s="3139"/>
      <c r="S635" s="3139"/>
      <c r="T635" s="3139"/>
      <c r="U635" s="3139"/>
      <c r="V635" s="3139"/>
      <c r="W635" s="3139"/>
      <c r="X635" s="3139"/>
      <c r="Y635" s="3139"/>
      <c r="Z635" s="3139"/>
      <c r="AA635" s="3139"/>
      <c r="AB635" s="3139"/>
      <c r="AC635" s="3139"/>
      <c r="AD635" s="3139"/>
      <c r="AE635" s="3139"/>
      <c r="AF635" s="1024"/>
      <c r="AG635" s="1024"/>
      <c r="AH635" s="1024"/>
      <c r="AI635" s="1024"/>
      <c r="AJ635" s="1024"/>
      <c r="AK635" s="1024"/>
      <c r="AL635" s="1192"/>
      <c r="AM635" s="1133"/>
      <c r="AN635" s="999"/>
    </row>
    <row r="636" spans="1:81" s="942" customFormat="1" ht="12.75" customHeight="1">
      <c r="A636" s="926"/>
      <c r="B636" s="51"/>
      <c r="C636" s="3041" t="s">
        <v>577</v>
      </c>
      <c r="D636" s="3042"/>
      <c r="E636" s="1145"/>
      <c r="F636" s="1213" t="s">
        <v>1765</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40" t="s">
        <v>1748</v>
      </c>
      <c r="AG636" s="3140"/>
      <c r="AH636" s="3140"/>
      <c r="AI636" s="3140"/>
      <c r="AJ636" s="3140"/>
      <c r="AK636" s="3140"/>
      <c r="AL636" s="3141"/>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041" t="s">
        <v>625</v>
      </c>
      <c r="D638" s="3042"/>
      <c r="E638" s="1177"/>
      <c r="F638" s="1213" t="s">
        <v>1766</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40" t="s">
        <v>1760</v>
      </c>
      <c r="AG638" s="3140"/>
      <c r="AH638" s="3140"/>
      <c r="AI638" s="3140"/>
      <c r="AJ638" s="3140"/>
      <c r="AK638" s="3140"/>
      <c r="AL638" s="3141"/>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1767</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1768</v>
      </c>
      <c r="F642" s="3032" t="s">
        <v>1769</v>
      </c>
      <c r="G642" s="3032"/>
      <c r="H642" s="3032"/>
      <c r="I642" s="3032"/>
      <c r="J642" s="3032"/>
      <c r="K642" s="3032"/>
      <c r="L642" s="3032"/>
      <c r="M642" s="3032"/>
      <c r="N642" s="3032"/>
      <c r="O642" s="3032"/>
      <c r="P642" s="3032"/>
      <c r="Q642" s="3032"/>
      <c r="R642" s="3032"/>
      <c r="S642" s="3032"/>
      <c r="T642" s="3032"/>
      <c r="U642" s="3032"/>
      <c r="V642" s="3032"/>
      <c r="W642" s="3032"/>
      <c r="X642" s="3032"/>
      <c r="Y642" s="3032"/>
      <c r="Z642" s="3032"/>
      <c r="AA642" s="3032"/>
      <c r="AB642" s="3032"/>
      <c r="AC642" s="3032"/>
      <c r="AD642" s="3032"/>
      <c r="AE642" s="3032"/>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033"/>
      <c r="G643" s="3033"/>
      <c r="H643" s="3033"/>
      <c r="I643" s="3033"/>
      <c r="J643" s="3033"/>
      <c r="K643" s="3033"/>
      <c r="L643" s="3033"/>
      <c r="M643" s="3033"/>
      <c r="N643" s="3033"/>
      <c r="O643" s="3033"/>
      <c r="P643" s="3033"/>
      <c r="Q643" s="3033"/>
      <c r="R643" s="3033"/>
      <c r="S643" s="3033"/>
      <c r="T643" s="3033"/>
      <c r="U643" s="3033"/>
      <c r="V643" s="3033"/>
      <c r="W643" s="3033"/>
      <c r="X643" s="3033"/>
      <c r="Y643" s="3033"/>
      <c r="Z643" s="3033"/>
      <c r="AA643" s="3033"/>
      <c r="AB643" s="3033"/>
      <c r="AC643" s="3033"/>
      <c r="AD643" s="3033"/>
      <c r="AE643" s="3033"/>
      <c r="AF643" s="1212"/>
      <c r="AG643" s="990"/>
      <c r="AH643" s="1024"/>
      <c r="AI643" s="1024"/>
      <c r="AJ643" s="1024"/>
      <c r="AK643" s="1024"/>
      <c r="AL643" s="1192"/>
      <c r="AM643" s="1133"/>
      <c r="AN643" s="1000"/>
      <c r="AO643" s="1024"/>
      <c r="AP643" s="1024"/>
    </row>
    <row r="644" spans="1:60" s="942" customFormat="1" ht="12.6" customHeight="1">
      <c r="A644" s="926"/>
      <c r="B644" s="51"/>
      <c r="C644" s="1191"/>
      <c r="D644" s="112"/>
      <c r="E644" s="1145"/>
      <c r="F644" s="3033"/>
      <c r="G644" s="3033"/>
      <c r="H644" s="3033"/>
      <c r="I644" s="3033"/>
      <c r="J644" s="3033"/>
      <c r="K644" s="3033"/>
      <c r="L644" s="3033"/>
      <c r="M644" s="3033"/>
      <c r="N644" s="3033"/>
      <c r="O644" s="3033"/>
      <c r="P644" s="3033"/>
      <c r="Q644" s="3033"/>
      <c r="R644" s="3033"/>
      <c r="S644" s="3033"/>
      <c r="T644" s="3033"/>
      <c r="U644" s="3033"/>
      <c r="V644" s="3033"/>
      <c r="W644" s="3033"/>
      <c r="X644" s="3033"/>
      <c r="Y644" s="3033"/>
      <c r="Z644" s="3033"/>
      <c r="AA644" s="3033"/>
      <c r="AB644" s="3033"/>
      <c r="AC644" s="3033"/>
      <c r="AD644" s="3033"/>
      <c r="AE644" s="3033"/>
      <c r="AF644" s="1024"/>
      <c r="AG644" s="1024"/>
      <c r="AH644" s="1024"/>
      <c r="AI644" s="1024"/>
      <c r="AJ644" s="1024"/>
      <c r="AK644" s="1024"/>
      <c r="AL644" s="1192"/>
      <c r="AM644" s="1133"/>
      <c r="AN644" s="999"/>
      <c r="AO644" s="1024"/>
      <c r="AP644" s="1024"/>
    </row>
    <row r="645" spans="1:60" s="942" customFormat="1" ht="12.75" customHeight="1">
      <c r="A645" s="926"/>
      <c r="B645" s="51"/>
      <c r="C645" s="3041" t="s">
        <v>625</v>
      </c>
      <c r="D645" s="3042"/>
      <c r="E645" s="1145"/>
      <c r="F645" s="1180" t="s">
        <v>1770</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40" t="s">
        <v>1748</v>
      </c>
      <c r="AG645" s="3140"/>
      <c r="AH645" s="3140"/>
      <c r="AI645" s="3140"/>
      <c r="AJ645" s="3140"/>
      <c r="AK645" s="3140"/>
      <c r="AL645" s="3141"/>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35" customHeight="1">
      <c r="A648" s="926"/>
      <c r="C648" s="1209"/>
      <c r="D648" s="1210"/>
      <c r="E648" s="1173" t="s">
        <v>1771</v>
      </c>
      <c r="F648" s="3032" t="s">
        <v>1772</v>
      </c>
      <c r="G648" s="3032"/>
      <c r="H648" s="3032"/>
      <c r="I648" s="3032"/>
      <c r="J648" s="3032"/>
      <c r="K648" s="3032"/>
      <c r="L648" s="3032"/>
      <c r="M648" s="3032"/>
      <c r="N648" s="3032"/>
      <c r="O648" s="3032"/>
      <c r="P648" s="3032"/>
      <c r="Q648" s="3032"/>
      <c r="R648" s="3032"/>
      <c r="S648" s="3032"/>
      <c r="T648" s="3032"/>
      <c r="U648" s="3032"/>
      <c r="V648" s="3032"/>
      <c r="W648" s="3032"/>
      <c r="X648" s="3032"/>
      <c r="Y648" s="3032"/>
      <c r="Z648" s="3032"/>
      <c r="AA648" s="3032"/>
      <c r="AB648" s="3032"/>
      <c r="AC648" s="3032"/>
      <c r="AD648" s="3032"/>
      <c r="AE648" s="3032"/>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033"/>
      <c r="G649" s="3033"/>
      <c r="H649" s="3033"/>
      <c r="I649" s="3033"/>
      <c r="J649" s="3033"/>
      <c r="K649" s="3033"/>
      <c r="L649" s="3033"/>
      <c r="M649" s="3033"/>
      <c r="N649" s="3033"/>
      <c r="O649" s="3033"/>
      <c r="P649" s="3033"/>
      <c r="Q649" s="3033"/>
      <c r="R649" s="3033"/>
      <c r="S649" s="3033"/>
      <c r="T649" s="3033"/>
      <c r="U649" s="3033"/>
      <c r="V649" s="3033"/>
      <c r="W649" s="3033"/>
      <c r="X649" s="3033"/>
      <c r="Y649" s="3033"/>
      <c r="Z649" s="3033"/>
      <c r="AA649" s="3033"/>
      <c r="AB649" s="3033"/>
      <c r="AC649" s="3033"/>
      <c r="AD649" s="3033"/>
      <c r="AE649" s="3033"/>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033"/>
      <c r="G650" s="3033"/>
      <c r="H650" s="3033"/>
      <c r="I650" s="3033"/>
      <c r="J650" s="3033"/>
      <c r="K650" s="3033"/>
      <c r="L650" s="3033"/>
      <c r="M650" s="3033"/>
      <c r="N650" s="3033"/>
      <c r="O650" s="3033"/>
      <c r="P650" s="3033"/>
      <c r="Q650" s="3033"/>
      <c r="R650" s="3033"/>
      <c r="S650" s="3033"/>
      <c r="T650" s="3033"/>
      <c r="U650" s="3033"/>
      <c r="V650" s="3033"/>
      <c r="W650" s="3033"/>
      <c r="X650" s="3033"/>
      <c r="Y650" s="3033"/>
      <c r="Z650" s="3033"/>
      <c r="AA650" s="3033"/>
      <c r="AB650" s="3033"/>
      <c r="AC650" s="3033"/>
      <c r="AD650" s="3033"/>
      <c r="AE650" s="3033"/>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033"/>
      <c r="G651" s="3033"/>
      <c r="H651" s="3033"/>
      <c r="I651" s="3033"/>
      <c r="J651" s="3033"/>
      <c r="K651" s="3033"/>
      <c r="L651" s="3033"/>
      <c r="M651" s="3033"/>
      <c r="N651" s="3033"/>
      <c r="O651" s="3033"/>
      <c r="P651" s="3033"/>
      <c r="Q651" s="3033"/>
      <c r="R651" s="3033"/>
      <c r="S651" s="3033"/>
      <c r="T651" s="3033"/>
      <c r="U651" s="3033"/>
      <c r="V651" s="3033"/>
      <c r="W651" s="3033"/>
      <c r="X651" s="3033"/>
      <c r="Y651" s="3033"/>
      <c r="Z651" s="3033"/>
      <c r="AA651" s="3033"/>
      <c r="AB651" s="3033"/>
      <c r="AC651" s="3033"/>
      <c r="AD651" s="3033"/>
      <c r="AE651" s="3033"/>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033"/>
      <c r="G652" s="3033"/>
      <c r="H652" s="3033"/>
      <c r="I652" s="3033"/>
      <c r="J652" s="3033"/>
      <c r="K652" s="3033"/>
      <c r="L652" s="3033"/>
      <c r="M652" s="3033"/>
      <c r="N652" s="3033"/>
      <c r="O652" s="3033"/>
      <c r="P652" s="3033"/>
      <c r="Q652" s="3033"/>
      <c r="R652" s="3033"/>
      <c r="S652" s="3033"/>
      <c r="T652" s="3033"/>
      <c r="U652" s="3033"/>
      <c r="V652" s="3033"/>
      <c r="W652" s="3033"/>
      <c r="X652" s="3033"/>
      <c r="Y652" s="3033"/>
      <c r="Z652" s="3033"/>
      <c r="AA652" s="3033"/>
      <c r="AB652" s="3033"/>
      <c r="AC652" s="3033"/>
      <c r="AD652" s="3033"/>
      <c r="AE652" s="3033"/>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033"/>
      <c r="G653" s="3033"/>
      <c r="H653" s="3033"/>
      <c r="I653" s="3033"/>
      <c r="J653" s="3033"/>
      <c r="K653" s="3033"/>
      <c r="L653" s="3033"/>
      <c r="M653" s="3033"/>
      <c r="N653" s="3033"/>
      <c r="O653" s="3033"/>
      <c r="P653" s="3033"/>
      <c r="Q653" s="3033"/>
      <c r="R653" s="3033"/>
      <c r="S653" s="3033"/>
      <c r="T653" s="3033"/>
      <c r="U653" s="3033"/>
      <c r="V653" s="3033"/>
      <c r="W653" s="3033"/>
      <c r="X653" s="3033"/>
      <c r="Y653" s="3033"/>
      <c r="Z653" s="3033"/>
      <c r="AA653" s="3033"/>
      <c r="AB653" s="3033"/>
      <c r="AC653" s="3033"/>
      <c r="AD653" s="3033"/>
      <c r="AE653" s="3033"/>
      <c r="AF653" s="1223"/>
      <c r="AG653" s="1223"/>
      <c r="AH653" s="1223"/>
      <c r="AI653" s="1223"/>
      <c r="AJ653" s="1223"/>
      <c r="AK653" s="1223"/>
      <c r="AL653" s="1224"/>
      <c r="AM653" s="1133"/>
      <c r="AN653" s="999"/>
    </row>
    <row r="654" spans="1:60" s="942" customFormat="1" ht="12.75" customHeight="1">
      <c r="A654" s="926"/>
      <c r="B654" s="51"/>
      <c r="C654" s="1225"/>
      <c r="D654" s="1190"/>
      <c r="E654" s="1177"/>
      <c r="F654" s="3033"/>
      <c r="G654" s="3033"/>
      <c r="H654" s="3033"/>
      <c r="I654" s="3033"/>
      <c r="J654" s="3033"/>
      <c r="K654" s="3033"/>
      <c r="L654" s="3033"/>
      <c r="M654" s="3033"/>
      <c r="N654" s="3033"/>
      <c r="O654" s="3033"/>
      <c r="P654" s="3033"/>
      <c r="Q654" s="3033"/>
      <c r="R654" s="3033"/>
      <c r="S654" s="3033"/>
      <c r="T654" s="3033"/>
      <c r="U654" s="3033"/>
      <c r="V654" s="3033"/>
      <c r="W654" s="3033"/>
      <c r="X654" s="3033"/>
      <c r="Y654" s="3033"/>
      <c r="Z654" s="3033"/>
      <c r="AA654" s="3033"/>
      <c r="AB654" s="3033"/>
      <c r="AC654" s="3033"/>
      <c r="AD654" s="3033"/>
      <c r="AE654" s="3033"/>
      <c r="AF654" s="1223"/>
      <c r="AG654" s="1223"/>
      <c r="AH654" s="1223"/>
      <c r="AI654" s="1223"/>
      <c r="AJ654" s="1223"/>
      <c r="AK654" s="1223"/>
      <c r="AL654" s="1224"/>
      <c r="AM654" s="1133"/>
      <c r="AN654" s="999"/>
    </row>
    <row r="655" spans="1:60" s="942" customFormat="1" ht="12.75" customHeight="1">
      <c r="A655" s="926"/>
      <c r="B655" s="51"/>
      <c r="C655" s="1225"/>
      <c r="D655" s="1190"/>
      <c r="E655" s="1177"/>
      <c r="F655" s="3033"/>
      <c r="G655" s="3033"/>
      <c r="H655" s="3033"/>
      <c r="I655" s="3033"/>
      <c r="J655" s="3033"/>
      <c r="K655" s="3033"/>
      <c r="L655" s="3033"/>
      <c r="M655" s="3033"/>
      <c r="N655" s="3033"/>
      <c r="O655" s="3033"/>
      <c r="P655" s="3033"/>
      <c r="Q655" s="3033"/>
      <c r="R655" s="3033"/>
      <c r="S655" s="3033"/>
      <c r="T655" s="3033"/>
      <c r="U655" s="3033"/>
      <c r="V655" s="3033"/>
      <c r="W655" s="3033"/>
      <c r="X655" s="3033"/>
      <c r="Y655" s="3033"/>
      <c r="Z655" s="3033"/>
      <c r="AA655" s="3033"/>
      <c r="AB655" s="3033"/>
      <c r="AC655" s="3033"/>
      <c r="AD655" s="3033"/>
      <c r="AE655" s="3033"/>
      <c r="AF655" s="1223"/>
      <c r="AG655" s="1223"/>
      <c r="AH655" s="1223"/>
      <c r="AI655" s="1223"/>
      <c r="AJ655" s="1223"/>
      <c r="AK655" s="1223"/>
      <c r="AL655" s="1224"/>
      <c r="AM655" s="1133"/>
      <c r="AN655" s="999"/>
    </row>
    <row r="656" spans="1:60" s="942" customFormat="1" ht="17.25" customHeight="1">
      <c r="A656" s="926"/>
      <c r="B656" s="51"/>
      <c r="C656" s="1225"/>
      <c r="D656" s="1190"/>
      <c r="E656" s="1177"/>
      <c r="F656" s="3033"/>
      <c r="G656" s="3033"/>
      <c r="H656" s="3033"/>
      <c r="I656" s="3033"/>
      <c r="J656" s="3033"/>
      <c r="K656" s="3033"/>
      <c r="L656" s="3033"/>
      <c r="M656" s="3033"/>
      <c r="N656" s="3033"/>
      <c r="O656" s="3033"/>
      <c r="P656" s="3033"/>
      <c r="Q656" s="3033"/>
      <c r="R656" s="3033"/>
      <c r="S656" s="3033"/>
      <c r="T656" s="3033"/>
      <c r="U656" s="3033"/>
      <c r="V656" s="3033"/>
      <c r="W656" s="3033"/>
      <c r="X656" s="3033"/>
      <c r="Y656" s="3033"/>
      <c r="Z656" s="3033"/>
      <c r="AA656" s="3033"/>
      <c r="AB656" s="3033"/>
      <c r="AC656" s="3033"/>
      <c r="AD656" s="3033"/>
      <c r="AE656" s="3033"/>
      <c r="AF656" s="1024"/>
      <c r="AG656" s="1024"/>
      <c r="AH656" s="1024"/>
      <c r="AI656" s="1024"/>
      <c r="AJ656" s="1024"/>
      <c r="AK656" s="1024"/>
      <c r="AL656" s="1192"/>
      <c r="AM656" s="1133"/>
      <c r="AN656" s="999"/>
    </row>
    <row r="657" spans="1:54" s="942" customFormat="1" ht="12.75" customHeight="1">
      <c r="A657" s="926"/>
      <c r="B657" s="51"/>
      <c r="C657" s="3041" t="s">
        <v>625</v>
      </c>
      <c r="D657" s="3042"/>
      <c r="E657" s="1177"/>
      <c r="F657" s="1215" t="s">
        <v>1773</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40" t="s">
        <v>1748</v>
      </c>
      <c r="AG657" s="3140"/>
      <c r="AH657" s="3140"/>
      <c r="AI657" s="3140"/>
      <c r="AJ657" s="3140"/>
      <c r="AK657" s="3140"/>
      <c r="AL657" s="3141"/>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1774</v>
      </c>
      <c r="F660" s="3032" t="s">
        <v>1775</v>
      </c>
      <c r="G660" s="3032"/>
      <c r="H660" s="3032"/>
      <c r="I660" s="3032"/>
      <c r="J660" s="3032"/>
      <c r="K660" s="3032"/>
      <c r="L660" s="3032"/>
      <c r="M660" s="3032"/>
      <c r="N660" s="3032"/>
      <c r="O660" s="3032"/>
      <c r="P660" s="3032"/>
      <c r="Q660" s="3032"/>
      <c r="R660" s="3032"/>
      <c r="S660" s="3032"/>
      <c r="T660" s="3032"/>
      <c r="U660" s="3032"/>
      <c r="V660" s="3032"/>
      <c r="W660" s="3032"/>
      <c r="X660" s="3032"/>
      <c r="Y660" s="3032"/>
      <c r="Z660" s="3032"/>
      <c r="AA660" s="3032"/>
      <c r="AB660" s="3032"/>
      <c r="AC660" s="3032"/>
      <c r="AD660" s="3032"/>
      <c r="AE660" s="3032"/>
      <c r="AF660" s="1172"/>
      <c r="AG660" s="1172"/>
      <c r="AH660" s="1172"/>
      <c r="AI660" s="1172"/>
      <c r="AJ660" s="1172"/>
      <c r="AK660" s="1172"/>
      <c r="AL660" s="1208"/>
      <c r="AM660" s="1133"/>
      <c r="AN660" s="999"/>
      <c r="AO660" s="942" t="s">
        <v>625</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033"/>
      <c r="G661" s="3033"/>
      <c r="H661" s="3033"/>
      <c r="I661" s="3033"/>
      <c r="J661" s="3033"/>
      <c r="K661" s="3033"/>
      <c r="L661" s="3033"/>
      <c r="M661" s="3033"/>
      <c r="N661" s="3033"/>
      <c r="O661" s="3033"/>
      <c r="P661" s="3033"/>
      <c r="Q661" s="3033"/>
      <c r="R661" s="3033"/>
      <c r="S661" s="3033"/>
      <c r="T661" s="3033"/>
      <c r="U661" s="3033"/>
      <c r="V661" s="3033"/>
      <c r="W661" s="3033"/>
      <c r="X661" s="3033"/>
      <c r="Y661" s="3033"/>
      <c r="Z661" s="3033"/>
      <c r="AA661" s="3033"/>
      <c r="AB661" s="3033"/>
      <c r="AC661" s="3033"/>
      <c r="AD661" s="3033"/>
      <c r="AE661" s="3033"/>
      <c r="AF661" s="1229"/>
      <c r="AG661" s="1229"/>
      <c r="AH661" s="1229"/>
      <c r="AI661" s="1229"/>
      <c r="AJ661" s="1229"/>
      <c r="AK661" s="1229"/>
      <c r="AL661" s="1179"/>
      <c r="AM661" s="1133"/>
      <c r="AN661" s="999"/>
      <c r="AO661" s="942" t="s">
        <v>1776</v>
      </c>
      <c r="AP661" s="942">
        <v>5</v>
      </c>
      <c r="AQ661" s="1228"/>
    </row>
    <row r="662" spans="1:54" s="942" customFormat="1" ht="12.75" customHeight="1">
      <c r="A662" s="926"/>
      <c r="B662" s="51"/>
      <c r="C662" s="1225"/>
      <c r="D662" s="1190"/>
      <c r="E662" s="1177"/>
      <c r="F662" s="3033"/>
      <c r="G662" s="3033"/>
      <c r="H662" s="3033"/>
      <c r="I662" s="3033"/>
      <c r="J662" s="3033"/>
      <c r="K662" s="3033"/>
      <c r="L662" s="3033"/>
      <c r="M662" s="3033"/>
      <c r="N662" s="3033"/>
      <c r="O662" s="3033"/>
      <c r="P662" s="3033"/>
      <c r="Q662" s="3033"/>
      <c r="R662" s="3033"/>
      <c r="S662" s="3033"/>
      <c r="T662" s="3033"/>
      <c r="U662" s="3033"/>
      <c r="V662" s="3033"/>
      <c r="W662" s="3033"/>
      <c r="X662" s="3033"/>
      <c r="Y662" s="3033"/>
      <c r="Z662" s="3033"/>
      <c r="AA662" s="3033"/>
      <c r="AB662" s="3033"/>
      <c r="AC662" s="3033"/>
      <c r="AD662" s="3033"/>
      <c r="AE662" s="3033"/>
      <c r="AF662" s="1229"/>
      <c r="AG662" s="1229"/>
      <c r="AH662" s="1229"/>
      <c r="AI662" s="1229"/>
      <c r="AJ662" s="1229"/>
      <c r="AK662" s="1229"/>
      <c r="AL662" s="1179"/>
      <c r="AM662" s="1133"/>
      <c r="AN662" s="999"/>
      <c r="AO662" s="942" t="s">
        <v>1777</v>
      </c>
      <c r="AP662" s="942">
        <v>5</v>
      </c>
      <c r="AQ662" s="1230"/>
    </row>
    <row r="663" spans="1:54" s="942" customFormat="1" ht="12.75" customHeight="1">
      <c r="A663" s="926"/>
      <c r="B663" s="51"/>
      <c r="C663" s="1225"/>
      <c r="D663" s="1190"/>
      <c r="E663" s="1177"/>
      <c r="F663" s="3033"/>
      <c r="G663" s="3033"/>
      <c r="H663" s="3033"/>
      <c r="I663" s="3033"/>
      <c r="J663" s="3033"/>
      <c r="K663" s="3033"/>
      <c r="L663" s="3033"/>
      <c r="M663" s="3033"/>
      <c r="N663" s="3033"/>
      <c r="O663" s="3033"/>
      <c r="P663" s="3033"/>
      <c r="Q663" s="3033"/>
      <c r="R663" s="3033"/>
      <c r="S663" s="3033"/>
      <c r="T663" s="3033"/>
      <c r="U663" s="3033"/>
      <c r="V663" s="3033"/>
      <c r="W663" s="3033"/>
      <c r="X663" s="3033"/>
      <c r="Y663" s="3033"/>
      <c r="Z663" s="3033"/>
      <c r="AA663" s="3033"/>
      <c r="AB663" s="3033"/>
      <c r="AC663" s="3033"/>
      <c r="AD663" s="3033"/>
      <c r="AE663" s="3033"/>
      <c r="AF663" s="1024"/>
      <c r="AG663" s="1024"/>
      <c r="AH663" s="1024"/>
      <c r="AI663" s="1024"/>
      <c r="AJ663" s="1024"/>
      <c r="AK663" s="1024"/>
      <c r="AL663" s="1192"/>
      <c r="AM663" s="1133"/>
      <c r="AN663" s="999"/>
      <c r="AO663" s="942" t="s">
        <v>1778</v>
      </c>
      <c r="AP663" s="942">
        <v>5</v>
      </c>
      <c r="AQ663" s="1231"/>
    </row>
    <row r="664" spans="1:54" s="1024" customFormat="1" ht="12.75" customHeight="1">
      <c r="A664" s="926"/>
      <c r="B664" s="51"/>
      <c r="C664" s="3041" t="s">
        <v>625</v>
      </c>
      <c r="D664" s="3042"/>
      <c r="E664" s="1177"/>
      <c r="F664" s="1180" t="s">
        <v>1779</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40" t="s">
        <v>1748</v>
      </c>
      <c r="AG664" s="3140"/>
      <c r="AH664" s="3140"/>
      <c r="AI664" s="3140"/>
      <c r="AJ664" s="3140"/>
      <c r="AK664" s="3140"/>
      <c r="AL664" s="3141"/>
      <c r="AM664" s="1133"/>
      <c r="AN664" s="1232"/>
      <c r="AO664" s="942" t="s">
        <v>1780</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1781</v>
      </c>
      <c r="AP665" s="942">
        <v>5</v>
      </c>
    </row>
    <row r="666" spans="1:54" s="942" customFormat="1" ht="12.75" customHeight="1">
      <c r="A666" s="926"/>
      <c r="B666" s="51"/>
      <c r="C666" s="1201"/>
      <c r="D666" s="1193"/>
      <c r="E666" s="1194"/>
      <c r="F666" s="1187" t="s">
        <v>1755</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1782</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1783</v>
      </c>
      <c r="AP667" s="942">
        <v>5</v>
      </c>
    </row>
    <row r="668" spans="1:54" s="1001" customFormat="1" ht="12.75" customHeight="1">
      <c r="A668" s="926"/>
      <c r="B668" s="51"/>
      <c r="C668" s="3142" t="s">
        <v>625</v>
      </c>
      <c r="D668" s="3143"/>
      <c r="E668" s="1173" t="s">
        <v>1784</v>
      </c>
      <c r="F668" s="3032" t="s">
        <v>1785</v>
      </c>
      <c r="G668" s="3032"/>
      <c r="H668" s="3032"/>
      <c r="I668" s="3032"/>
      <c r="J668" s="3032"/>
      <c r="K668" s="3032"/>
      <c r="L668" s="3032"/>
      <c r="M668" s="3032"/>
      <c r="N668" s="3032"/>
      <c r="O668" s="3032"/>
      <c r="P668" s="3032"/>
      <c r="Q668" s="3032"/>
      <c r="R668" s="3032"/>
      <c r="S668" s="3032"/>
      <c r="T668" s="3032"/>
      <c r="U668" s="3032"/>
      <c r="V668" s="3032"/>
      <c r="W668" s="3032"/>
      <c r="X668" s="3032"/>
      <c r="Y668" s="3032"/>
      <c r="Z668" s="3032"/>
      <c r="AA668" s="3032"/>
      <c r="AB668" s="3032"/>
      <c r="AC668" s="3032"/>
      <c r="AD668" s="3032"/>
      <c r="AE668" s="3032"/>
      <c r="AF668" s="3136" t="s">
        <v>1748</v>
      </c>
      <c r="AG668" s="3136"/>
      <c r="AH668" s="3136"/>
      <c r="AI668" s="3136"/>
      <c r="AJ668" s="3136"/>
      <c r="AK668" s="3136"/>
      <c r="AL668" s="3137"/>
      <c r="AM668" s="1133"/>
      <c r="AN668" s="1232"/>
      <c r="AO668" s="942" t="s">
        <v>1786</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033"/>
      <c r="G669" s="3033"/>
      <c r="H669" s="3033"/>
      <c r="I669" s="3033"/>
      <c r="J669" s="3033"/>
      <c r="K669" s="3033"/>
      <c r="L669" s="3033"/>
      <c r="M669" s="3033"/>
      <c r="N669" s="3033"/>
      <c r="O669" s="3033"/>
      <c r="P669" s="3033"/>
      <c r="Q669" s="3033"/>
      <c r="R669" s="3033"/>
      <c r="S669" s="3033"/>
      <c r="T669" s="3033"/>
      <c r="U669" s="3033"/>
      <c r="V669" s="3033"/>
      <c r="W669" s="3033"/>
      <c r="X669" s="3033"/>
      <c r="Y669" s="3033"/>
      <c r="Z669" s="3033"/>
      <c r="AA669" s="3033"/>
      <c r="AB669" s="3033"/>
      <c r="AC669" s="3033"/>
      <c r="AD669" s="3033"/>
      <c r="AE669" s="3033"/>
      <c r="AF669" s="1229"/>
      <c r="AG669" s="1229"/>
      <c r="AH669" s="1229"/>
      <c r="AI669" s="1229"/>
      <c r="AJ669" s="1229"/>
      <c r="AK669" s="1229"/>
      <c r="AL669" s="1179"/>
      <c r="AM669" s="1133"/>
      <c r="AN669" s="1233"/>
      <c r="AO669" s="942"/>
      <c r="AP669" s="942"/>
      <c r="AQ669" s="942"/>
      <c r="AR669" s="942"/>
      <c r="AS669" s="1234"/>
      <c r="AT669" s="942"/>
      <c r="AU669" s="942"/>
      <c r="AV669" s="942"/>
      <c r="AW669" s="1234" t="s">
        <v>1787</v>
      </c>
      <c r="AX669" s="942"/>
      <c r="AY669" s="942"/>
      <c r="AZ669" s="942"/>
      <c r="BA669" s="1234" t="s">
        <v>1788</v>
      </c>
      <c r="BB669" s="942"/>
    </row>
    <row r="670" spans="1:54" s="942" customFormat="1" ht="17.850000000000001" customHeight="1">
      <c r="A670" s="926"/>
      <c r="B670" s="51"/>
      <c r="C670" s="1235"/>
      <c r="D670" s="1183"/>
      <c r="E670" s="1184"/>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88"/>
      <c r="AG670" s="1188"/>
      <c r="AH670" s="1188"/>
      <c r="AI670" s="1188"/>
      <c r="AJ670" s="1188"/>
      <c r="AK670" s="1188"/>
      <c r="AL670" s="1236"/>
      <c r="AM670" s="1133"/>
      <c r="AN670" s="1237"/>
      <c r="AO670" s="942" t="s">
        <v>625</v>
      </c>
      <c r="AP670" s="1067">
        <v>0</v>
      </c>
      <c r="AR670" s="942" t="s">
        <v>625</v>
      </c>
      <c r="AS670" s="1067">
        <v>0</v>
      </c>
      <c r="AT670" s="1238"/>
      <c r="AW670" s="942" t="s">
        <v>625</v>
      </c>
      <c r="AX670" s="1238">
        <v>0</v>
      </c>
      <c r="BA670" s="942" t="s">
        <v>625</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1789</v>
      </c>
      <c r="AS671" s="1067">
        <v>3</v>
      </c>
      <c r="AT671" s="1238"/>
      <c r="AW671" s="1240">
        <v>0.4</v>
      </c>
      <c r="AX671" s="1238">
        <v>3</v>
      </c>
      <c r="BA671" s="1240">
        <v>0.4</v>
      </c>
      <c r="BB671" s="1238">
        <v>4</v>
      </c>
    </row>
    <row r="672" spans="1:54" s="942" customFormat="1" ht="12.75" customHeight="1">
      <c r="A672" s="926"/>
      <c r="B672" s="51"/>
      <c r="C672" s="3041" t="s">
        <v>625</v>
      </c>
      <c r="D672" s="3042"/>
      <c r="E672" s="1173" t="s">
        <v>1790</v>
      </c>
      <c r="F672" s="3032" t="s">
        <v>1791</v>
      </c>
      <c r="G672" s="3032"/>
      <c r="H672" s="3032"/>
      <c r="I672" s="3032"/>
      <c r="J672" s="3032"/>
      <c r="K672" s="3032"/>
      <c r="L672" s="3032"/>
      <c r="M672" s="3032"/>
      <c r="N672" s="3032"/>
      <c r="O672" s="3032"/>
      <c r="P672" s="3032"/>
      <c r="Q672" s="3032"/>
      <c r="R672" s="3032"/>
      <c r="S672" s="3032"/>
      <c r="T672" s="3032"/>
      <c r="U672" s="3032"/>
      <c r="V672" s="3032"/>
      <c r="W672" s="3032"/>
      <c r="X672" s="3032"/>
      <c r="Y672" s="3032"/>
      <c r="Z672" s="3032"/>
      <c r="AA672" s="3032"/>
      <c r="AB672" s="3032"/>
      <c r="AC672" s="3032"/>
      <c r="AD672" s="3032"/>
      <c r="AE672" s="3032"/>
      <c r="AF672" s="3136" t="s">
        <v>1748</v>
      </c>
      <c r="AG672" s="3136"/>
      <c r="AH672" s="3136"/>
      <c r="AI672" s="3136"/>
      <c r="AJ672" s="3136"/>
      <c r="AK672" s="3136"/>
      <c r="AL672" s="3137"/>
      <c r="AM672" s="1133"/>
      <c r="AN672" s="1239"/>
      <c r="AO672" s="1240">
        <v>0.12</v>
      </c>
      <c r="AP672" s="1067">
        <v>5</v>
      </c>
      <c r="AR672" s="942" t="s">
        <v>1792</v>
      </c>
      <c r="AS672" s="1067">
        <v>5</v>
      </c>
      <c r="AT672" s="1238"/>
      <c r="AW672" s="1240">
        <v>0.6</v>
      </c>
      <c r="AX672" s="1238">
        <v>4</v>
      </c>
      <c r="BA672" s="1240">
        <v>0.6</v>
      </c>
      <c r="BB672" s="1238">
        <v>5</v>
      </c>
    </row>
    <row r="673" spans="1:54" s="942" customFormat="1" ht="12.75" customHeight="1">
      <c r="A673" s="926"/>
      <c r="B673" s="51"/>
      <c r="C673" s="1191"/>
      <c r="D673" s="112"/>
      <c r="E673" s="1145"/>
      <c r="F673" s="3033"/>
      <c r="G673" s="3033"/>
      <c r="H673" s="3033"/>
      <c r="I673" s="3033"/>
      <c r="J673" s="3033"/>
      <c r="K673" s="3033"/>
      <c r="L673" s="3033"/>
      <c r="M673" s="3033"/>
      <c r="N673" s="3033"/>
      <c r="O673" s="3033"/>
      <c r="P673" s="3033"/>
      <c r="Q673" s="3033"/>
      <c r="R673" s="3033"/>
      <c r="S673" s="3033"/>
      <c r="T673" s="3033"/>
      <c r="U673" s="3033"/>
      <c r="V673" s="3033"/>
      <c r="W673" s="3033"/>
      <c r="X673" s="3033"/>
      <c r="Y673" s="3033"/>
      <c r="Z673" s="3033"/>
      <c r="AA673" s="3033"/>
      <c r="AB673" s="3033"/>
      <c r="AC673" s="3033"/>
      <c r="AD673" s="3033"/>
      <c r="AE673" s="3033"/>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033"/>
      <c r="G674" s="3033"/>
      <c r="H674" s="3033"/>
      <c r="I674" s="3033"/>
      <c r="J674" s="3033"/>
      <c r="K674" s="3033"/>
      <c r="L674" s="3033"/>
      <c r="M674" s="3033"/>
      <c r="N674" s="3033"/>
      <c r="O674" s="3033"/>
      <c r="P674" s="3033"/>
      <c r="Q674" s="3033"/>
      <c r="R674" s="3033"/>
      <c r="S674" s="3033"/>
      <c r="T674" s="3033"/>
      <c r="U674" s="3033"/>
      <c r="V674" s="3033"/>
      <c r="W674" s="3033"/>
      <c r="X674" s="3033"/>
      <c r="Y674" s="3033"/>
      <c r="Z674" s="3033"/>
      <c r="AA674" s="3033"/>
      <c r="AB674" s="3033"/>
      <c r="AC674" s="3033"/>
      <c r="AD674" s="3033"/>
      <c r="AE674" s="3033"/>
      <c r="AF674" s="1212"/>
      <c r="AG674" s="990"/>
      <c r="AH674" s="1024"/>
      <c r="AI674" s="1024"/>
      <c r="AJ674" s="1024"/>
      <c r="AK674" s="1024"/>
      <c r="AL674" s="1192"/>
      <c r="AM674" s="1133"/>
      <c r="AN674" s="1239"/>
      <c r="AO674" s="942" t="s">
        <v>625</v>
      </c>
      <c r="AP674" s="1067">
        <v>0</v>
      </c>
      <c r="AW674" s="1240"/>
      <c r="AX674" s="1238"/>
    </row>
    <row r="675" spans="1:54" s="942" customFormat="1" ht="12.75" customHeight="1">
      <c r="A675" s="926"/>
      <c r="B675" s="51"/>
      <c r="C675" s="1235"/>
      <c r="D675" s="1183"/>
      <c r="E675" s="1184"/>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1793</v>
      </c>
      <c r="F677" s="3138" t="s">
        <v>1794</v>
      </c>
      <c r="G677" s="3138"/>
      <c r="H677" s="3138"/>
      <c r="I677" s="3138"/>
      <c r="J677" s="3138"/>
      <c r="K677" s="3138"/>
      <c r="L677" s="3138"/>
      <c r="M677" s="3138"/>
      <c r="N677" s="3138"/>
      <c r="O677" s="3138"/>
      <c r="P677" s="3138"/>
      <c r="Q677" s="3138"/>
      <c r="R677" s="3138"/>
      <c r="S677" s="3138"/>
      <c r="T677" s="3138"/>
      <c r="U677" s="3138"/>
      <c r="V677" s="3138"/>
      <c r="W677" s="3138"/>
      <c r="X677" s="3138"/>
      <c r="Y677" s="3138"/>
      <c r="Z677" s="3138"/>
      <c r="AA677" s="3138"/>
      <c r="AB677" s="3138"/>
      <c r="AC677" s="3138"/>
      <c r="AD677" s="3138"/>
      <c r="AE677" s="3138"/>
      <c r="AF677" s="3138"/>
      <c r="AG677" s="1207"/>
      <c r="AH677" s="1172"/>
      <c r="AI677" s="1172"/>
      <c r="AJ677" s="1172"/>
      <c r="AK677" s="1172"/>
      <c r="AL677" s="1208"/>
      <c r="AM677" s="1133"/>
      <c r="AN677" s="999"/>
    </row>
    <row r="678" spans="1:54" s="942" customFormat="1" ht="12.75" customHeight="1">
      <c r="A678" s="926"/>
      <c r="B678" s="51"/>
      <c r="C678" s="1191"/>
      <c r="D678" s="112"/>
      <c r="E678" s="1145"/>
      <c r="F678" s="3139"/>
      <c r="G678" s="3139"/>
      <c r="H678" s="3139"/>
      <c r="I678" s="3139"/>
      <c r="J678" s="3139"/>
      <c r="K678" s="3139"/>
      <c r="L678" s="3139"/>
      <c r="M678" s="3139"/>
      <c r="N678" s="3139"/>
      <c r="O678" s="3139"/>
      <c r="P678" s="3139"/>
      <c r="Q678" s="3139"/>
      <c r="R678" s="3139"/>
      <c r="S678" s="3139"/>
      <c r="T678" s="3139"/>
      <c r="U678" s="3139"/>
      <c r="V678" s="3139"/>
      <c r="W678" s="3139"/>
      <c r="X678" s="3139"/>
      <c r="Y678" s="3139"/>
      <c r="Z678" s="3139"/>
      <c r="AA678" s="3139"/>
      <c r="AB678" s="3139"/>
      <c r="AC678" s="3139"/>
      <c r="AD678" s="3139"/>
      <c r="AE678" s="3139"/>
      <c r="AF678" s="3139"/>
      <c r="AG678" s="1024"/>
      <c r="AH678" s="1024"/>
      <c r="AI678" s="1024"/>
      <c r="AJ678" s="1024"/>
      <c r="AK678" s="1024"/>
      <c r="AL678" s="1192"/>
      <c r="AM678" s="1133"/>
      <c r="AN678" s="999"/>
    </row>
    <row r="679" spans="1:54" s="942" customFormat="1" ht="12.75" customHeight="1">
      <c r="A679" s="926"/>
      <c r="B679" s="51"/>
      <c r="C679" s="1200"/>
      <c r="D679" s="1024"/>
      <c r="E679" s="1024"/>
      <c r="F679" s="3139"/>
      <c r="G679" s="3139"/>
      <c r="H679" s="3139"/>
      <c r="I679" s="3139"/>
      <c r="J679" s="3139"/>
      <c r="K679" s="3139"/>
      <c r="L679" s="3139"/>
      <c r="M679" s="3139"/>
      <c r="N679" s="3139"/>
      <c r="O679" s="3139"/>
      <c r="P679" s="3139"/>
      <c r="Q679" s="3139"/>
      <c r="R679" s="3139"/>
      <c r="S679" s="3139"/>
      <c r="T679" s="3139"/>
      <c r="U679" s="3139"/>
      <c r="V679" s="3139"/>
      <c r="W679" s="3139"/>
      <c r="X679" s="3139"/>
      <c r="Y679" s="3139"/>
      <c r="Z679" s="3139"/>
      <c r="AA679" s="3139"/>
      <c r="AB679" s="3139"/>
      <c r="AC679" s="3139"/>
      <c r="AD679" s="3139"/>
      <c r="AE679" s="3139"/>
      <c r="AF679" s="3139"/>
      <c r="AG679" s="1024"/>
      <c r="AH679" s="1024"/>
      <c r="AI679" s="1024"/>
      <c r="AJ679" s="1024"/>
      <c r="AK679" s="1024"/>
      <c r="AL679" s="1192"/>
      <c r="AM679" s="1133"/>
      <c r="AN679" s="999"/>
    </row>
    <row r="680" spans="1:54" s="942" customFormat="1" ht="12.75" customHeight="1">
      <c r="A680" s="926"/>
      <c r="B680" s="51"/>
      <c r="C680" s="1200"/>
      <c r="D680" s="1024"/>
      <c r="E680" s="1024"/>
      <c r="F680" s="3139"/>
      <c r="G680" s="3139"/>
      <c r="H680" s="3139"/>
      <c r="I680" s="3139"/>
      <c r="J680" s="3139"/>
      <c r="K680" s="3139"/>
      <c r="L680" s="3139"/>
      <c r="M680" s="3139"/>
      <c r="N680" s="3139"/>
      <c r="O680" s="3139"/>
      <c r="P680" s="3139"/>
      <c r="Q680" s="3139"/>
      <c r="R680" s="3139"/>
      <c r="S680" s="3139"/>
      <c r="T680" s="3139"/>
      <c r="U680" s="3139"/>
      <c r="V680" s="3139"/>
      <c r="W680" s="3139"/>
      <c r="X680" s="3139"/>
      <c r="Y680" s="3139"/>
      <c r="Z680" s="3139"/>
      <c r="AA680" s="3139"/>
      <c r="AB680" s="3139"/>
      <c r="AC680" s="3139"/>
      <c r="AD680" s="3139"/>
      <c r="AE680" s="3139"/>
      <c r="AF680" s="3139"/>
      <c r="AG680" s="1024"/>
      <c r="AH680" s="1024"/>
      <c r="AI680" s="1024"/>
      <c r="AJ680" s="1024"/>
      <c r="AK680" s="1024"/>
      <c r="AL680" s="1192"/>
      <c r="AM680" s="1133"/>
      <c r="AN680" s="999"/>
    </row>
    <row r="681" spans="1:54" s="942" customFormat="1" ht="12.75" customHeight="1">
      <c r="A681" s="926"/>
      <c r="B681" s="51"/>
      <c r="C681" s="3041" t="s">
        <v>625</v>
      </c>
      <c r="D681" s="3042"/>
      <c r="E681" s="1177"/>
      <c r="F681" s="1213" t="s">
        <v>1765</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043" t="s">
        <v>1748</v>
      </c>
      <c r="AG681" s="3043"/>
      <c r="AH681" s="3043"/>
      <c r="AI681" s="3043"/>
      <c r="AJ681" s="3043"/>
      <c r="AK681" s="3043"/>
      <c r="AL681" s="3044"/>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1795</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1796</v>
      </c>
      <c r="AK684" s="3028">
        <f>IF(Application!D213="N/A",AS573,AS575)</f>
        <v>10</v>
      </c>
      <c r="AL684" s="3029"/>
      <c r="AM684" s="3030"/>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625</v>
      </c>
      <c r="AP686" s="1024">
        <v>0</v>
      </c>
    </row>
    <row r="687" spans="1:54" s="942" customFormat="1" ht="12.75" hidden="1" customHeight="1">
      <c r="A687" s="1011" t="s">
        <v>1797</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031" t="s">
        <v>1798</v>
      </c>
      <c r="AF687" s="3031"/>
      <c r="AG687" s="3031"/>
      <c r="AH687" s="3031"/>
      <c r="AI687" s="3031"/>
      <c r="AJ687" s="3031"/>
      <c r="AK687" s="3031"/>
      <c r="AL687" s="1788"/>
      <c r="AM687" s="1025"/>
      <c r="AN687" s="999"/>
      <c r="AO687" s="942" t="s">
        <v>1776</v>
      </c>
      <c r="AP687" s="942">
        <v>5</v>
      </c>
      <c r="AQ687" s="1024"/>
      <c r="AR687" s="1024"/>
      <c r="AS687" s="1024"/>
      <c r="AT687" s="1024"/>
      <c r="AU687" s="1024"/>
      <c r="AV687" s="1024"/>
      <c r="AW687" s="1024"/>
    </row>
    <row r="688" spans="1:54" s="942" customFormat="1" ht="12.75" hidden="1" customHeight="1">
      <c r="A688" s="1011"/>
      <c r="B688" s="1005" t="s">
        <v>1799</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1800</v>
      </c>
      <c r="AP688" s="942">
        <v>5</v>
      </c>
      <c r="AQ688" s="1024"/>
      <c r="AR688" s="1024"/>
      <c r="AS688" s="1024"/>
      <c r="AT688" s="1024"/>
      <c r="AU688" s="1024"/>
      <c r="AV688" s="1024"/>
      <c r="AW688" s="1024"/>
    </row>
    <row r="689" spans="1:50" s="942" customFormat="1" ht="12.75" hidden="1" customHeight="1">
      <c r="A689" s="1011"/>
      <c r="B689" s="985" t="s">
        <v>1801</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1778</v>
      </c>
      <c r="AP689" s="942">
        <v>5</v>
      </c>
      <c r="AQ689" s="1178"/>
      <c r="AR689" s="1178"/>
      <c r="AS689" s="1234"/>
      <c r="AW689" s="1234"/>
    </row>
    <row r="690" spans="1:50" s="942" customFormat="1" ht="12.75" hidden="1" customHeight="1">
      <c r="A690" s="1011"/>
      <c r="B690" s="985" t="s">
        <v>1802</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1780</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1781</v>
      </c>
      <c r="AP691" s="942">
        <v>5</v>
      </c>
      <c r="AQ691" s="1178"/>
      <c r="AR691" s="1178"/>
      <c r="AW691" s="1245"/>
    </row>
    <row r="692" spans="1:50" s="942" customFormat="1" ht="12.75" hidden="1" customHeight="1">
      <c r="A692" s="1011"/>
      <c r="B692" s="1025"/>
      <c r="C692" s="1246" t="s">
        <v>1803</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1782</v>
      </c>
      <c r="AP692" s="942">
        <v>5</v>
      </c>
      <c r="AW692" s="1245"/>
    </row>
    <row r="693" spans="1:50" s="942" customFormat="1" ht="12.75" hidden="1" customHeight="1">
      <c r="A693" s="1011"/>
      <c r="C693" s="3117" t="s">
        <v>625</v>
      </c>
      <c r="D693" s="3118"/>
      <c r="E693" s="1247" t="s">
        <v>539</v>
      </c>
      <c r="F693" s="3126" t="s">
        <v>1804</v>
      </c>
      <c r="G693" s="3126"/>
      <c r="H693" s="3126"/>
      <c r="I693" s="3126"/>
      <c r="J693" s="3126"/>
      <c r="K693" s="3126"/>
      <c r="L693" s="3126"/>
      <c r="M693" s="3126"/>
      <c r="N693" s="3126"/>
      <c r="O693" s="3126"/>
      <c r="P693" s="3126"/>
      <c r="Q693" s="3126"/>
      <c r="R693" s="3126"/>
      <c r="S693" s="3126"/>
      <c r="T693" s="3126"/>
      <c r="U693" s="3126"/>
      <c r="V693" s="3126"/>
      <c r="W693" s="3126"/>
      <c r="X693" s="3126"/>
      <c r="Y693" s="3126"/>
      <c r="Z693" s="3126"/>
      <c r="AA693" s="3126"/>
      <c r="AB693" s="3126"/>
      <c r="AC693" s="3126"/>
      <c r="AD693" s="3126"/>
      <c r="AE693" s="3126"/>
      <c r="AF693" s="1172"/>
      <c r="AG693" s="1172"/>
      <c r="AH693" s="1172"/>
      <c r="AI693" s="1172"/>
      <c r="AJ693" s="1172"/>
      <c r="AK693" s="1208"/>
      <c r="AL693" s="1024"/>
      <c r="AN693" s="999"/>
      <c r="AO693" s="942" t="s">
        <v>1805</v>
      </c>
      <c r="AP693" s="942">
        <v>5</v>
      </c>
      <c r="AS693" s="1240"/>
      <c r="AT693" s="1238"/>
      <c r="AW693" s="1245"/>
      <c r="AX693" s="1067"/>
    </row>
    <row r="694" spans="1:50" s="942" customFormat="1" ht="12.75" hidden="1" customHeight="1">
      <c r="A694" s="1059"/>
      <c r="C694" s="1248"/>
      <c r="D694" s="1024"/>
      <c r="E694" s="1249"/>
      <c r="F694" s="3127"/>
      <c r="G694" s="3127"/>
      <c r="H694" s="3127"/>
      <c r="I694" s="3127"/>
      <c r="J694" s="3127"/>
      <c r="K694" s="3127"/>
      <c r="L694" s="3127"/>
      <c r="M694" s="3127"/>
      <c r="N694" s="3127"/>
      <c r="O694" s="3127"/>
      <c r="P694" s="3127"/>
      <c r="Q694" s="3127"/>
      <c r="R694" s="3127"/>
      <c r="S694" s="3127"/>
      <c r="T694" s="3127"/>
      <c r="U694" s="3127"/>
      <c r="V694" s="3127"/>
      <c r="W694" s="3127"/>
      <c r="X694" s="3127"/>
      <c r="Y694" s="3127"/>
      <c r="Z694" s="3127"/>
      <c r="AA694" s="3127"/>
      <c r="AB694" s="3127"/>
      <c r="AC694" s="3127"/>
      <c r="AD694" s="3127"/>
      <c r="AE694" s="3127"/>
      <c r="AF694" s="1024"/>
      <c r="AG694" s="943"/>
      <c r="AH694" s="943"/>
      <c r="AI694" s="943"/>
      <c r="AJ694" s="943"/>
      <c r="AK694" s="1192"/>
      <c r="AL694" s="1024"/>
      <c r="AN694" s="999"/>
      <c r="AO694" s="942" t="s">
        <v>1786</v>
      </c>
      <c r="AP694" s="942">
        <v>1</v>
      </c>
    </row>
    <row r="695" spans="1:50" s="942" customFormat="1" ht="12.75" hidden="1" customHeight="1">
      <c r="A695" s="1059"/>
      <c r="C695" s="1250"/>
      <c r="D695" s="1187"/>
      <c r="E695" s="1251"/>
      <c r="F695" s="3132" t="s">
        <v>625</v>
      </c>
      <c r="G695" s="3132"/>
      <c r="H695" s="3132"/>
      <c r="I695" s="3132"/>
      <c r="J695" s="3132"/>
      <c r="K695" s="3132"/>
      <c r="L695" s="3132"/>
      <c r="M695" s="3132"/>
      <c r="N695" s="3132"/>
      <c r="O695" s="3132"/>
      <c r="P695" s="3132"/>
      <c r="Q695" s="3132"/>
      <c r="R695" s="3132"/>
      <c r="S695" s="3132"/>
      <c r="T695" s="3132"/>
      <c r="U695" s="3132"/>
      <c r="V695" s="3132"/>
      <c r="W695" s="3132"/>
      <c r="X695" s="3132"/>
      <c r="Y695" s="3132"/>
      <c r="Z695" s="3132"/>
      <c r="AA695" s="1252"/>
      <c r="AB695" s="1099"/>
      <c r="AC695" s="1099"/>
      <c r="AD695" s="1187"/>
      <c r="AE695" s="1187"/>
      <c r="AF695" s="1187"/>
      <c r="AG695" s="1253">
        <f>IF($C$693="Yes",(VLOOKUP($F$695,$AO$660:$AP$668,2,FALSE)),0)</f>
        <v>0</v>
      </c>
      <c r="AH695" s="1254" t="s">
        <v>1596</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625</v>
      </c>
      <c r="AP696" s="1067">
        <v>0</v>
      </c>
    </row>
    <row r="697" spans="1:50" s="942" customFormat="1" ht="12.75" hidden="1" customHeight="1">
      <c r="A697" s="1059"/>
      <c r="C697" s="3133" t="s">
        <v>577</v>
      </c>
      <c r="D697" s="3134"/>
      <c r="E697" s="1247" t="s">
        <v>797</v>
      </c>
      <c r="F697" s="1256" t="s">
        <v>1806</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1807</v>
      </c>
      <c r="D698" s="1024"/>
      <c r="E698" s="1024"/>
      <c r="F698" s="1258" t="s">
        <v>1808</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1809</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1810</v>
      </c>
      <c r="G700" s="1024"/>
      <c r="H700" s="1024"/>
      <c r="I700" s="1258"/>
      <c r="J700" s="1258"/>
      <c r="K700" s="1258"/>
      <c r="L700" s="1258"/>
      <c r="M700" s="1258"/>
      <c r="N700" s="1258"/>
      <c r="O700" s="1258"/>
      <c r="P700" s="1258"/>
      <c r="Q700" s="1258"/>
      <c r="R700" s="1258"/>
      <c r="S700" s="1258"/>
      <c r="T700" s="1258"/>
      <c r="U700" s="1258"/>
      <c r="V700" s="3036" t="s">
        <v>625</v>
      </c>
      <c r="W700" s="3036"/>
      <c r="X700" s="3036"/>
      <c r="Y700" s="1258"/>
      <c r="Z700" s="1258"/>
      <c r="AA700" s="1258"/>
      <c r="AB700" s="1258"/>
      <c r="AC700" s="1258"/>
      <c r="AD700" s="1261"/>
      <c r="AE700" s="1261"/>
      <c r="AF700" s="1261"/>
      <c r="AG700" s="1030">
        <f>IF(AND($C$697="Yes",$V$702="N/A",$V$707="N/A",$V$711="N/A",$V$713="N/A"),(VLOOKUP(V700,$AR$670:$AS$672,2,FALSE)),0)</f>
        <v>0</v>
      </c>
      <c r="AH700" s="1796" t="s">
        <v>1596</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1811</v>
      </c>
      <c r="G702" s="1024"/>
      <c r="H702" s="1024"/>
      <c r="I702" s="1258"/>
      <c r="J702" s="1258"/>
      <c r="K702" s="1258"/>
      <c r="L702" s="1258"/>
      <c r="M702" s="1258"/>
      <c r="N702" s="1258"/>
      <c r="O702" s="1258"/>
      <c r="P702" s="1258"/>
      <c r="Q702" s="1258"/>
      <c r="R702" s="1258"/>
      <c r="S702" s="1258"/>
      <c r="T702" s="1258"/>
      <c r="U702" s="1258"/>
      <c r="V702" s="3036" t="s">
        <v>625</v>
      </c>
      <c r="W702" s="3036"/>
      <c r="X702" s="3036"/>
      <c r="Y702" s="1258"/>
      <c r="Z702" s="1258"/>
      <c r="AA702" s="1258"/>
      <c r="AB702" s="1258"/>
      <c r="AC702" s="1258"/>
      <c r="AD702" s="1261"/>
      <c r="AE702" s="1261"/>
      <c r="AF702" s="1261"/>
      <c r="AG702" s="1030">
        <f>IF(AND($C$697="Yes",$V$700="N/A", $V$707="N/A",$V$711="N/A",$V$713="N/A"),(VLOOKUP(V702,$AO$670:$AP$672,2,FALSE)),0)</f>
        <v>0</v>
      </c>
      <c r="AH702" s="1796" t="s">
        <v>1596</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625</v>
      </c>
      <c r="AP703" s="942">
        <v>0</v>
      </c>
    </row>
    <row r="704" spans="1:50" s="942" customFormat="1" ht="12.75" hidden="1" customHeight="1">
      <c r="A704" s="1059"/>
      <c r="C704" s="1248"/>
      <c r="D704" s="1024"/>
      <c r="E704" s="1249"/>
      <c r="F704" s="1264" t="s">
        <v>1812</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1813</v>
      </c>
      <c r="AP704" s="1067">
        <v>2</v>
      </c>
    </row>
    <row r="705" spans="1:81" s="942" customFormat="1" ht="12.75" hidden="1" customHeight="1">
      <c r="A705" s="1059"/>
      <c r="C705" s="1248"/>
      <c r="D705" s="1059"/>
      <c r="E705" s="1059"/>
      <c r="F705" s="1261" t="s">
        <v>1814</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1815</v>
      </c>
      <c r="AP705" s="942">
        <v>2</v>
      </c>
    </row>
    <row r="706" spans="1:81" s="992" customFormat="1" ht="12.75" hidden="1" customHeight="1">
      <c r="A706" s="1059"/>
      <c r="B706" s="942"/>
      <c r="C706" s="1200"/>
      <c r="D706" s="1255"/>
      <c r="E706" s="1255"/>
      <c r="F706" s="1261" t="s">
        <v>1816</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1817</v>
      </c>
      <c r="AP706" s="942">
        <v>2</v>
      </c>
    </row>
    <row r="707" spans="1:81" s="942" customFormat="1" ht="12.75" hidden="1" customHeight="1">
      <c r="A707" s="1059"/>
      <c r="C707" s="1265"/>
      <c r="D707" s="1059"/>
      <c r="E707" s="1059"/>
      <c r="F707" s="1263" t="s">
        <v>1818</v>
      </c>
      <c r="G707" s="1059"/>
      <c r="H707" s="1059"/>
      <c r="I707" s="1059"/>
      <c r="J707" s="1059"/>
      <c r="K707" s="1059"/>
      <c r="L707" s="1059"/>
      <c r="M707" s="1249"/>
      <c r="N707" s="1249"/>
      <c r="O707" s="1249"/>
      <c r="P707" s="1249"/>
      <c r="Q707" s="943"/>
      <c r="R707" s="943"/>
      <c r="S707" s="943"/>
      <c r="T707" s="943"/>
      <c r="U707" s="943"/>
      <c r="V707" s="3036" t="s">
        <v>625</v>
      </c>
      <c r="W707" s="3036"/>
      <c r="X707" s="3036"/>
      <c r="Y707" s="943"/>
      <c r="Z707" s="943"/>
      <c r="AA707" s="943"/>
      <c r="AB707" s="943"/>
      <c r="AC707" s="943"/>
      <c r="AD707" s="1024"/>
      <c r="AE707" s="1024"/>
      <c r="AF707" s="1024"/>
      <c r="AG707" s="1030">
        <f>IF(AND($C$697="Yes",$V$700="N/A",$V$702="N/A", $V$711="N/A",$V$713="N/A"),(VLOOKUP($V$707,$AO$674:$AP$676,2,FALSE)),0)</f>
        <v>0</v>
      </c>
      <c r="AH707" s="1796" t="s">
        <v>1596</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1819</v>
      </c>
      <c r="D709" s="1268"/>
      <c r="E709" s="1268"/>
      <c r="F709" s="1269" t="s">
        <v>1820</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625</v>
      </c>
      <c r="AP709" s="942">
        <v>0</v>
      </c>
      <c r="AQ709" s="1212"/>
    </row>
    <row r="710" spans="1:81" s="992" customFormat="1" ht="12.75" hidden="1" customHeight="1">
      <c r="A710" s="1059"/>
      <c r="B710" s="1025"/>
      <c r="C710" s="1270"/>
      <c r="D710" s="3120"/>
      <c r="E710" s="3120"/>
      <c r="F710" s="1258" t="s">
        <v>1821</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1822</v>
      </c>
      <c r="AP710" s="1067">
        <v>5</v>
      </c>
      <c r="AQ710" s="931"/>
    </row>
    <row r="711" spans="1:81" s="1133" customFormat="1" ht="12.75" hidden="1" customHeight="1">
      <c r="A711" s="1794"/>
      <c r="B711" s="1025"/>
      <c r="C711" s="1248"/>
      <c r="D711" s="1024"/>
      <c r="E711" s="1024"/>
      <c r="F711" s="1271" t="s">
        <v>1810</v>
      </c>
      <c r="G711" s="1024"/>
      <c r="H711" s="1024"/>
      <c r="I711" s="1024"/>
      <c r="J711" s="1024"/>
      <c r="K711" s="1024"/>
      <c r="L711" s="1024"/>
      <c r="M711" s="1024"/>
      <c r="N711" s="1024"/>
      <c r="O711" s="1024"/>
      <c r="P711" s="1024"/>
      <c r="Q711" s="1024"/>
      <c r="R711" s="1024"/>
      <c r="S711" s="1024"/>
      <c r="T711" s="1024"/>
      <c r="U711" s="1024"/>
      <c r="V711" s="3036" t="s">
        <v>625</v>
      </c>
      <c r="W711" s="3036"/>
      <c r="X711" s="3036"/>
      <c r="Y711" s="1024"/>
      <c r="Z711" s="1024"/>
      <c r="AA711" s="1024"/>
      <c r="AB711" s="1024"/>
      <c r="AC711" s="1024"/>
      <c r="AD711" s="1024"/>
      <c r="AE711" s="1024"/>
      <c r="AF711" s="1024"/>
      <c r="AG711" s="1030">
        <f>IF(AND($C$697="Yes",$V$700="N/A",V702="N/A",$V$707="N/A",$V$713="N/A"),(VLOOKUP($V$711,$AW$670:$AX$673,2,FALSE)),0)</f>
        <v>0</v>
      </c>
      <c r="AH711" s="1796" t="s">
        <v>1596</v>
      </c>
      <c r="AI711" s="943"/>
      <c r="AJ711" s="1024"/>
      <c r="AK711" s="1192"/>
      <c r="AL711" s="1024"/>
      <c r="AM711" s="942"/>
      <c r="AN711" s="1132"/>
      <c r="AO711" s="942" t="s">
        <v>1823</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1824</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1811</v>
      </c>
      <c r="G713" s="1272"/>
      <c r="H713" s="1272"/>
      <c r="I713" s="1187"/>
      <c r="J713" s="1187"/>
      <c r="K713" s="1187"/>
      <c r="L713" s="1187"/>
      <c r="M713" s="1187"/>
      <c r="N713" s="1187"/>
      <c r="O713" s="1187"/>
      <c r="P713" s="1187"/>
      <c r="Q713" s="1187"/>
      <c r="R713" s="1187"/>
      <c r="S713" s="1187"/>
      <c r="T713" s="1187"/>
      <c r="U713" s="1187"/>
      <c r="V713" s="3036" t="s">
        <v>625</v>
      </c>
      <c r="W713" s="3036"/>
      <c r="X713" s="3036"/>
      <c r="Y713" s="1187"/>
      <c r="Z713" s="1187"/>
      <c r="AA713" s="1187"/>
      <c r="AB713" s="1187"/>
      <c r="AC713" s="1187"/>
      <c r="AD713" s="1187"/>
      <c r="AE713" s="1187"/>
      <c r="AF713" s="1187"/>
      <c r="AG713" s="1273">
        <f>IF(AND($C$697="Yes",$V$700="N/A",$V$702="N/A",$V$707="N/A",$V$711="N/A"),(VLOOKUP($V$713,$BA$670:$BB$672,2,FALSE)),0)</f>
        <v>0</v>
      </c>
      <c r="AH713" s="1254" t="s">
        <v>1596</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1825</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17" t="s">
        <v>625</v>
      </c>
      <c r="D716" s="3118"/>
      <c r="E716" s="1247" t="s">
        <v>539</v>
      </c>
      <c r="F716" s="3126" t="s">
        <v>1804</v>
      </c>
      <c r="G716" s="3126"/>
      <c r="H716" s="3126"/>
      <c r="I716" s="3126"/>
      <c r="J716" s="3126"/>
      <c r="K716" s="3126"/>
      <c r="L716" s="3126"/>
      <c r="M716" s="3126"/>
      <c r="N716" s="3126"/>
      <c r="O716" s="3126"/>
      <c r="P716" s="3126"/>
      <c r="Q716" s="3126"/>
      <c r="R716" s="3126"/>
      <c r="S716" s="3126"/>
      <c r="T716" s="3126"/>
      <c r="U716" s="3126"/>
      <c r="V716" s="3126"/>
      <c r="W716" s="3126"/>
      <c r="X716" s="3126"/>
      <c r="Y716" s="3126"/>
      <c r="Z716" s="3126"/>
      <c r="AA716" s="3126"/>
      <c r="AB716" s="3126"/>
      <c r="AC716" s="3126"/>
      <c r="AD716" s="3126"/>
      <c r="AE716" s="3126"/>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27"/>
      <c r="G717" s="3127"/>
      <c r="H717" s="3127"/>
      <c r="I717" s="3127"/>
      <c r="J717" s="3127"/>
      <c r="K717" s="3127"/>
      <c r="L717" s="3127"/>
      <c r="M717" s="3127"/>
      <c r="N717" s="3127"/>
      <c r="O717" s="3127"/>
      <c r="P717" s="3127"/>
      <c r="Q717" s="3127"/>
      <c r="R717" s="3127"/>
      <c r="S717" s="3127"/>
      <c r="T717" s="3127"/>
      <c r="U717" s="3127"/>
      <c r="V717" s="3127"/>
      <c r="W717" s="3127"/>
      <c r="X717" s="3127"/>
      <c r="Y717" s="3127"/>
      <c r="Z717" s="3127"/>
      <c r="AA717" s="3127"/>
      <c r="AB717" s="3127"/>
      <c r="AC717" s="3127"/>
      <c r="AD717" s="3127"/>
      <c r="AE717" s="3127"/>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28" t="s">
        <v>625</v>
      </c>
      <c r="G718" s="3128"/>
      <c r="H718" s="3128"/>
      <c r="I718" s="3128"/>
      <c r="J718" s="3128"/>
      <c r="K718" s="3128"/>
      <c r="L718" s="3128"/>
      <c r="M718" s="3128"/>
      <c r="N718" s="3128"/>
      <c r="O718" s="3128"/>
      <c r="P718" s="3128"/>
      <c r="Q718" s="3128"/>
      <c r="R718" s="3128"/>
      <c r="S718" s="3128"/>
      <c r="T718" s="3128"/>
      <c r="U718" s="3128"/>
      <c r="V718" s="3128"/>
      <c r="W718" s="3128"/>
      <c r="X718" s="3128"/>
      <c r="Y718" s="3128"/>
      <c r="Z718" s="3128"/>
      <c r="AA718" s="1252"/>
      <c r="AB718" s="1099"/>
      <c r="AC718" s="1099"/>
      <c r="AD718" s="1187"/>
      <c r="AE718" s="1187"/>
      <c r="AF718" s="1187"/>
      <c r="AG718" s="1253">
        <f>IF($C$716="Yes",(VLOOKUP($F$718,$AO$686:$AP$694,2,FALSE)),0)</f>
        <v>0</v>
      </c>
      <c r="AH718" s="1254" t="s">
        <v>1596</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17" t="s">
        <v>625</v>
      </c>
      <c r="D720" s="3118"/>
      <c r="E720" s="1247" t="s">
        <v>797</v>
      </c>
      <c r="F720" s="3129" t="s">
        <v>1826</v>
      </c>
      <c r="G720" s="3129"/>
      <c r="H720" s="3129"/>
      <c r="I720" s="3129"/>
      <c r="J720" s="3129"/>
      <c r="K720" s="3129"/>
      <c r="L720" s="3129"/>
      <c r="M720" s="3129"/>
      <c r="N720" s="3129"/>
      <c r="O720" s="3129"/>
      <c r="P720" s="3129"/>
      <c r="Q720" s="3129"/>
      <c r="R720" s="3129"/>
      <c r="S720" s="3129"/>
      <c r="T720" s="3129"/>
      <c r="U720" s="3129"/>
      <c r="V720" s="3129"/>
      <c r="W720" s="3129"/>
      <c r="X720" s="3129"/>
      <c r="Y720" s="3129"/>
      <c r="Z720" s="3129"/>
      <c r="AA720" s="3129"/>
      <c r="AB720" s="3129"/>
      <c r="AC720" s="3129"/>
      <c r="AD720" s="3129"/>
      <c r="AE720" s="3129"/>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30"/>
      <c r="G721" s="3130"/>
      <c r="H721" s="3130"/>
      <c r="I721" s="3130"/>
      <c r="J721" s="3130"/>
      <c r="K721" s="3130"/>
      <c r="L721" s="3130"/>
      <c r="M721" s="3130"/>
      <c r="N721" s="3130"/>
      <c r="O721" s="3130"/>
      <c r="P721" s="3130"/>
      <c r="Q721" s="3130"/>
      <c r="R721" s="3130"/>
      <c r="S721" s="3130"/>
      <c r="T721" s="3130"/>
      <c r="U721" s="3130"/>
      <c r="V721" s="3130"/>
      <c r="W721" s="3130"/>
      <c r="X721" s="3130"/>
      <c r="Y721" s="3130"/>
      <c r="Z721" s="3130"/>
      <c r="AA721" s="3130"/>
      <c r="AB721" s="3130"/>
      <c r="AC721" s="3130"/>
      <c r="AD721" s="3130"/>
      <c r="AE721" s="3130"/>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1827</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31" t="s">
        <v>625</v>
      </c>
      <c r="G723" s="3131"/>
      <c r="H723" s="3131"/>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1596</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17" t="s">
        <v>625</v>
      </c>
      <c r="D725" s="3118"/>
      <c r="E725" s="1247" t="s">
        <v>1828</v>
      </c>
      <c r="F725" s="1269" t="s">
        <v>1829</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19"/>
      <c r="D727" s="3120"/>
      <c r="E727" s="1259"/>
      <c r="F727" s="943" t="s">
        <v>1830</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1596</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21" t="s">
        <v>625</v>
      </c>
      <c r="H728" s="3121"/>
      <c r="I728" s="3121"/>
      <c r="J728" s="3121"/>
      <c r="K728" s="3121"/>
      <c r="L728" s="3121"/>
      <c r="M728" s="3121"/>
      <c r="N728" s="3121"/>
      <c r="O728" s="3121"/>
      <c r="P728" s="3121"/>
      <c r="Q728" s="3121"/>
      <c r="R728" s="3121"/>
      <c r="S728" s="3121"/>
      <c r="T728" s="3121"/>
      <c r="U728" s="3121"/>
      <c r="V728" s="3121"/>
      <c r="W728" s="3121"/>
      <c r="X728" s="3121"/>
      <c r="Y728" s="3121"/>
      <c r="Z728" s="3121"/>
      <c r="AA728" s="3121"/>
      <c r="AB728" s="3121"/>
      <c r="AC728" s="3121"/>
      <c r="AD728" s="3121"/>
      <c r="AE728" s="3121"/>
      <c r="AF728" s="3121"/>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22" t="s">
        <v>625</v>
      </c>
      <c r="D730" s="3123"/>
      <c r="E730" s="963"/>
      <c r="F730" s="943" t="s">
        <v>1831</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1596</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1832</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1833</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22" t="s">
        <v>625</v>
      </c>
      <c r="D734" s="3123"/>
      <c r="E734" s="1024"/>
      <c r="F734" s="1289" t="s">
        <v>1834</v>
      </c>
      <c r="G734" s="3124" t="s">
        <v>1835</v>
      </c>
      <c r="H734" s="3124"/>
      <c r="I734" s="3124"/>
      <c r="J734" s="3124"/>
      <c r="K734" s="3124"/>
      <c r="L734" s="3124"/>
      <c r="M734" s="3124"/>
      <c r="N734" s="3124"/>
      <c r="O734" s="3124"/>
      <c r="P734" s="3124"/>
      <c r="Q734" s="3124"/>
      <c r="R734" s="3124"/>
      <c r="S734" s="3124"/>
      <c r="T734" s="3124"/>
      <c r="U734" s="3124"/>
      <c r="V734" s="3124"/>
      <c r="W734" s="3124"/>
      <c r="X734" s="3124"/>
      <c r="Y734" s="3124"/>
      <c r="Z734" s="3124"/>
      <c r="AA734" s="3124"/>
      <c r="AB734" s="3124"/>
      <c r="AC734" s="3124"/>
      <c r="AD734" s="3124"/>
      <c r="AE734" s="3124"/>
      <c r="AF734" s="3124"/>
      <c r="AG734" s="1030">
        <f>IF(AND($C$734="Yes",$C$725="Yes"),2,0)</f>
        <v>0</v>
      </c>
      <c r="AH734" s="1796" t="s">
        <v>1596</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25"/>
      <c r="H735" s="3125"/>
      <c r="I735" s="3125"/>
      <c r="J735" s="3125"/>
      <c r="K735" s="3125"/>
      <c r="L735" s="3125"/>
      <c r="M735" s="3125"/>
      <c r="N735" s="3125"/>
      <c r="O735" s="3125"/>
      <c r="P735" s="3125"/>
      <c r="Q735" s="3125"/>
      <c r="R735" s="3125"/>
      <c r="S735" s="3125"/>
      <c r="T735" s="3125"/>
      <c r="U735" s="3125"/>
      <c r="V735" s="3125"/>
      <c r="W735" s="3125"/>
      <c r="X735" s="3125"/>
      <c r="Y735" s="3125"/>
      <c r="Z735" s="3125"/>
      <c r="AA735" s="3125"/>
      <c r="AB735" s="3125"/>
      <c r="AC735" s="3125"/>
      <c r="AD735" s="3125"/>
      <c r="AE735" s="3125"/>
      <c r="AF735" s="3125"/>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1836</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06" t="s">
        <v>625</v>
      </c>
      <c r="D738" s="3107"/>
      <c r="E738" s="1298" t="s">
        <v>1837</v>
      </c>
      <c r="F738" s="1258" t="s">
        <v>1838</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1596</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08" t="s">
        <v>625</v>
      </c>
      <c r="G739" s="3108"/>
      <c r="H739" s="3108"/>
      <c r="I739" s="3108"/>
      <c r="J739" s="3108"/>
      <c r="K739" s="3108"/>
      <c r="L739" s="3108"/>
      <c r="M739" s="3108"/>
      <c r="N739" s="3108"/>
      <c r="O739" s="3108"/>
      <c r="P739" s="3108"/>
      <c r="Q739" s="3108"/>
      <c r="R739" s="3108"/>
      <c r="S739" s="3108"/>
      <c r="T739" s="3108"/>
      <c r="U739" s="3108"/>
      <c r="V739" s="3108"/>
      <c r="W739" s="3108"/>
      <c r="X739" s="3108"/>
      <c r="Y739" s="3108"/>
      <c r="Z739" s="3108"/>
      <c r="AA739" s="3108"/>
      <c r="AB739" s="3108"/>
      <c r="AC739" s="3108"/>
      <c r="AD739" s="3108"/>
      <c r="AE739" s="3108"/>
      <c r="AF739" s="3108"/>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09"/>
      <c r="G740" s="3109"/>
      <c r="H740" s="3109"/>
      <c r="I740" s="3109"/>
      <c r="J740" s="3109"/>
      <c r="K740" s="3109"/>
      <c r="L740" s="3109"/>
      <c r="M740" s="3109"/>
      <c r="N740" s="3109"/>
      <c r="O740" s="3109"/>
      <c r="P740" s="3109"/>
      <c r="Q740" s="3109"/>
      <c r="R740" s="3109"/>
      <c r="S740" s="3109"/>
      <c r="T740" s="3109"/>
      <c r="U740" s="3109"/>
      <c r="V740" s="3109"/>
      <c r="W740" s="3109"/>
      <c r="X740" s="3109"/>
      <c r="Y740" s="3109"/>
      <c r="Z740" s="3109"/>
      <c r="AA740" s="3109"/>
      <c r="AB740" s="3109"/>
      <c r="AC740" s="3109"/>
      <c r="AD740" s="3109"/>
      <c r="AE740" s="3109"/>
      <c r="AF740" s="3109"/>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1839</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1840</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1841</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1842</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1843</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1844</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1845</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1846</v>
      </c>
      <c r="AK750" s="3028">
        <f>SUM(AG694:AG739)</f>
        <v>0</v>
      </c>
      <c r="AL750" s="3029"/>
      <c r="AM750" s="3030"/>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1847</v>
      </c>
      <c r="B753" s="1011" t="s">
        <v>1848</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10" t="s">
        <v>1849</v>
      </c>
      <c r="AF753" s="3110"/>
      <c r="AG753" s="3110"/>
      <c r="AH753" s="3110"/>
      <c r="AI753" s="3110"/>
      <c r="AJ753" s="3110"/>
      <c r="AK753" s="3110"/>
      <c r="AL753" s="1004"/>
      <c r="AM753" s="1004"/>
      <c r="AN753" s="999"/>
    </row>
    <row r="754" spans="1:49" s="942" customFormat="1" ht="12.75" customHeight="1">
      <c r="A754" s="1011"/>
      <c r="B754" s="1011" t="s">
        <v>1592</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42" t="s">
        <v>577</v>
      </c>
      <c r="D756" s="3042"/>
      <c r="E756" s="943"/>
      <c r="F756" s="3111" t="s">
        <v>1850</v>
      </c>
      <c r="G756" s="3112"/>
      <c r="H756" s="3112"/>
      <c r="I756" s="3112"/>
      <c r="J756" s="3112"/>
      <c r="K756" s="3112"/>
      <c r="L756" s="3112"/>
      <c r="M756" s="3112"/>
      <c r="N756" s="3112"/>
      <c r="O756" s="3112"/>
      <c r="P756" s="3112"/>
      <c r="Q756" s="3112"/>
      <c r="R756" s="3112"/>
      <c r="S756" s="3112"/>
      <c r="T756" s="3112"/>
      <c r="U756" s="3112"/>
      <c r="V756" s="3112"/>
      <c r="W756" s="3112"/>
      <c r="X756" s="3112"/>
      <c r="Y756" s="3112"/>
      <c r="Z756" s="3112"/>
      <c r="AA756" s="3112"/>
      <c r="AB756" s="3112"/>
      <c r="AC756" s="3112"/>
      <c r="AD756" s="3112"/>
      <c r="AE756" s="3112"/>
      <c r="AF756" s="3112"/>
      <c r="AG756" s="3112"/>
      <c r="AH756" s="3112"/>
      <c r="AI756" s="3112"/>
      <c r="AJ756" s="3112"/>
      <c r="AK756" s="3112"/>
      <c r="AL756" s="3113"/>
      <c r="AM756" s="1004"/>
      <c r="AN756" s="999"/>
    </row>
    <row r="757" spans="1:49" s="942" customFormat="1" ht="12.75" customHeight="1">
      <c r="A757" s="1011"/>
      <c r="B757" s="1011"/>
      <c r="C757" s="943"/>
      <c r="D757" s="943"/>
      <c r="E757" s="943"/>
      <c r="F757" s="3114"/>
      <c r="G757" s="3115"/>
      <c r="H757" s="3115"/>
      <c r="I757" s="3115"/>
      <c r="J757" s="3115"/>
      <c r="K757" s="3115"/>
      <c r="L757" s="3115"/>
      <c r="M757" s="3115"/>
      <c r="N757" s="3115"/>
      <c r="O757" s="3115"/>
      <c r="P757" s="3115"/>
      <c r="Q757" s="3115"/>
      <c r="R757" s="3115"/>
      <c r="S757" s="3115"/>
      <c r="T757" s="3115"/>
      <c r="U757" s="3115"/>
      <c r="V757" s="3115"/>
      <c r="W757" s="3115"/>
      <c r="X757" s="3115"/>
      <c r="Y757" s="3115"/>
      <c r="Z757" s="3115"/>
      <c r="AA757" s="3115"/>
      <c r="AB757" s="3115"/>
      <c r="AC757" s="3115"/>
      <c r="AD757" s="3115"/>
      <c r="AE757" s="3115"/>
      <c r="AF757" s="3115"/>
      <c r="AG757" s="3115"/>
      <c r="AH757" s="3115"/>
      <c r="AI757" s="3115"/>
      <c r="AJ757" s="3115"/>
      <c r="AK757" s="3115"/>
      <c r="AL757" s="3116"/>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42" t="s">
        <v>625</v>
      </c>
      <c r="D759" s="3042"/>
      <c r="E759" s="1304"/>
      <c r="F759" s="1305" t="s">
        <v>1851</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20" t="s">
        <v>1852</v>
      </c>
      <c r="G760" s="3021"/>
      <c r="H760" s="3021"/>
      <c r="I760" s="3021"/>
      <c r="J760" s="3021"/>
      <c r="K760" s="3021"/>
      <c r="L760" s="3021"/>
      <c r="M760" s="3021"/>
      <c r="N760" s="3021"/>
      <c r="O760" s="3021"/>
      <c r="P760" s="3021"/>
      <c r="Q760" s="3021"/>
      <c r="R760" s="3021"/>
      <c r="S760" s="3021"/>
      <c r="T760" s="3021"/>
      <c r="U760" s="3021"/>
      <c r="V760" s="3021"/>
      <c r="W760" s="3021"/>
      <c r="X760" s="3021"/>
      <c r="Y760" s="3021"/>
      <c r="Z760" s="3021"/>
      <c r="AA760" s="3021"/>
      <c r="AB760" s="3021"/>
      <c r="AC760" s="3021"/>
      <c r="AD760" s="3021"/>
      <c r="AE760" s="3021"/>
      <c r="AF760" s="3021"/>
      <c r="AG760" s="3021"/>
      <c r="AH760" s="3021"/>
      <c r="AI760" s="3021"/>
      <c r="AJ760" s="3021"/>
      <c r="AK760" s="3021"/>
      <c r="AL760" s="3022"/>
      <c r="AM760" s="1004"/>
      <c r="AN760" s="999"/>
      <c r="AS760" s="1482"/>
      <c r="AT760" s="1482"/>
      <c r="AU760" s="1482"/>
      <c r="AV760" s="1482"/>
      <c r="AW760" s="1482"/>
    </row>
    <row r="761" spans="1:49" s="942" customFormat="1" ht="12.75" customHeight="1">
      <c r="A761" s="1025"/>
      <c r="B761" s="1304"/>
      <c r="C761" s="1304"/>
      <c r="D761" s="1304"/>
      <c r="E761" s="1304"/>
      <c r="F761" s="3020"/>
      <c r="G761" s="3021"/>
      <c r="H761" s="3021"/>
      <c r="I761" s="3021"/>
      <c r="J761" s="3021"/>
      <c r="K761" s="3021"/>
      <c r="L761" s="3021"/>
      <c r="M761" s="3021"/>
      <c r="N761" s="3021"/>
      <c r="O761" s="3021"/>
      <c r="P761" s="3021"/>
      <c r="Q761" s="3021"/>
      <c r="R761" s="3021"/>
      <c r="S761" s="3021"/>
      <c r="T761" s="3021"/>
      <c r="U761" s="3021"/>
      <c r="V761" s="3021"/>
      <c r="W761" s="3021"/>
      <c r="X761" s="3021"/>
      <c r="Y761" s="3021"/>
      <c r="Z761" s="3021"/>
      <c r="AA761" s="3021"/>
      <c r="AB761" s="3021"/>
      <c r="AC761" s="3021"/>
      <c r="AD761" s="3021"/>
      <c r="AE761" s="3021"/>
      <c r="AF761" s="3021"/>
      <c r="AG761" s="3021"/>
      <c r="AH761" s="3021"/>
      <c r="AI761" s="3021"/>
      <c r="AJ761" s="3021"/>
      <c r="AK761" s="3021"/>
      <c r="AL761" s="3022"/>
      <c r="AM761" s="1004"/>
      <c r="AN761" s="999"/>
    </row>
    <row r="762" spans="1:49" s="942" customFormat="1" ht="12.75" customHeight="1">
      <c r="A762" s="1025"/>
      <c r="B762" s="1304"/>
      <c r="C762" s="1304"/>
      <c r="D762" s="1304"/>
      <c r="E762" s="1304"/>
      <c r="F762" s="1310" t="s">
        <v>1853</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20" t="s">
        <v>1854</v>
      </c>
      <c r="G763" s="3021"/>
      <c r="H763" s="3021"/>
      <c r="I763" s="3021"/>
      <c r="J763" s="3021"/>
      <c r="K763" s="3021"/>
      <c r="L763" s="3021"/>
      <c r="M763" s="3021"/>
      <c r="N763" s="3021"/>
      <c r="O763" s="3021"/>
      <c r="P763" s="3021"/>
      <c r="Q763" s="3021"/>
      <c r="R763" s="3021"/>
      <c r="S763" s="3021"/>
      <c r="T763" s="3021"/>
      <c r="U763" s="3021"/>
      <c r="V763" s="3021"/>
      <c r="W763" s="3021"/>
      <c r="X763" s="3021"/>
      <c r="Y763" s="3021"/>
      <c r="Z763" s="3021"/>
      <c r="AA763" s="3021"/>
      <c r="AB763" s="3021"/>
      <c r="AC763" s="3021"/>
      <c r="AD763" s="3021"/>
      <c r="AE763" s="3021"/>
      <c r="AF763" s="3021"/>
      <c r="AG763" s="3021"/>
      <c r="AH763" s="3021"/>
      <c r="AI763" s="3021"/>
      <c r="AJ763" s="3021"/>
      <c r="AK763" s="3021"/>
      <c r="AL763" s="1313"/>
      <c r="AM763" s="1004"/>
      <c r="AN763" s="999"/>
      <c r="AT763" s="1088"/>
      <c r="AU763" s="1088"/>
      <c r="AV763" s="1088"/>
    </row>
    <row r="764" spans="1:49" s="942" customFormat="1" ht="12.75" customHeight="1">
      <c r="A764" s="1025"/>
      <c r="B764" s="1304"/>
      <c r="C764" s="1304"/>
      <c r="D764" s="1304"/>
      <c r="E764" s="1304"/>
      <c r="F764" s="3023"/>
      <c r="G764" s="3024"/>
      <c r="H764" s="3024"/>
      <c r="I764" s="3024"/>
      <c r="J764" s="3024"/>
      <c r="K764" s="3024"/>
      <c r="L764" s="3024"/>
      <c r="M764" s="3024"/>
      <c r="N764" s="3024"/>
      <c r="O764" s="3024"/>
      <c r="P764" s="3024"/>
      <c r="Q764" s="3024"/>
      <c r="R764" s="3024"/>
      <c r="S764" s="3024"/>
      <c r="T764" s="3024"/>
      <c r="U764" s="3024"/>
      <c r="V764" s="3024"/>
      <c r="W764" s="3024"/>
      <c r="X764" s="3024"/>
      <c r="Y764" s="3024"/>
      <c r="Z764" s="3024"/>
      <c r="AA764" s="3024"/>
      <c r="AB764" s="3024"/>
      <c r="AC764" s="3024"/>
      <c r="AD764" s="3024"/>
      <c r="AE764" s="3024"/>
      <c r="AF764" s="3024"/>
      <c r="AG764" s="3024"/>
      <c r="AH764" s="3024"/>
      <c r="AI764" s="3024"/>
      <c r="AJ764" s="3024"/>
      <c r="AK764" s="3024"/>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14">
        <f>Application!AJ975</f>
        <v>22553870</v>
      </c>
      <c r="AQ765" s="3014"/>
      <c r="AR765" s="3014"/>
    </row>
    <row r="766" spans="1:49" s="942" customFormat="1" ht="12.75" customHeight="1">
      <c r="A766" s="1316"/>
      <c r="B766" s="923" t="s">
        <v>1855</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25">
        <f>'Sources and Uses Budget'!S107+'Sources and Uses Budget'!T107</f>
        <v>32956004</v>
      </c>
      <c r="AG766" s="3025"/>
      <c r="AH766" s="3025"/>
      <c r="AI766" s="3025"/>
      <c r="AJ766" s="3025"/>
      <c r="AK766" s="1004"/>
      <c r="AL766" s="1004"/>
      <c r="AM766" s="1004"/>
      <c r="AN766" s="999"/>
    </row>
    <row r="767" spans="1:49" s="942" customFormat="1" ht="12.75" customHeight="1">
      <c r="A767" s="1048"/>
      <c r="B767" s="1048" t="s">
        <v>1856</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26">
        <f>AP774</f>
        <v>41407928.090000004</v>
      </c>
      <c r="AG767" s="3026"/>
      <c r="AH767" s="3026"/>
      <c r="AI767" s="3026"/>
      <c r="AJ767" s="3026"/>
      <c r="AK767" s="1004"/>
      <c r="AL767" s="1004"/>
      <c r="AM767" s="1004"/>
      <c r="AN767" s="999"/>
      <c r="AP767" s="3014">
        <f>Application!AJ1024</f>
        <v>13306783.299999999</v>
      </c>
      <c r="AQ767" s="3014"/>
      <c r="AR767" s="3014"/>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27">
        <f>ROUNDDOWN(IF(C759="YES",((1-(AF766/AF767))*2),(1-(AF766/AF767))),2)</f>
        <v>0.2</v>
      </c>
      <c r="AG768" s="3027"/>
      <c r="AH768" s="3027"/>
      <c r="AI768" s="3027"/>
      <c r="AJ768" s="3027"/>
      <c r="AK768" s="1004"/>
      <c r="AL768" s="1004"/>
      <c r="AM768" s="1004"/>
      <c r="AN768" s="999"/>
      <c r="AP768" s="3015">
        <f>Application!AJ1028</f>
        <v>9021548</v>
      </c>
      <c r="AQ768" s="3015"/>
      <c r="AR768" s="3015"/>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034">
        <f>IF(((AP767+AP768)/AP765)&gt;0.8,0.8,((AP767+AP768)/AP765))</f>
        <v>0.8</v>
      </c>
      <c r="AQ769" s="3034"/>
      <c r="AR769" s="3034"/>
    </row>
    <row r="770" spans="1:44" s="942" customFormat="1" ht="12.75" customHeight="1">
      <c r="A770" s="1047"/>
      <c r="B770" s="3086" t="s">
        <v>1857</v>
      </c>
      <c r="C770" s="3087"/>
      <c r="D770" s="3087"/>
      <c r="E770" s="3087"/>
      <c r="F770" s="3087"/>
      <c r="G770" s="3087"/>
      <c r="H770" s="3087"/>
      <c r="I770" s="3087"/>
      <c r="J770" s="3087"/>
      <c r="K770" s="3087"/>
      <c r="L770" s="3087"/>
      <c r="M770" s="3087"/>
      <c r="N770" s="3087"/>
      <c r="O770" s="3087"/>
      <c r="P770" s="3087"/>
      <c r="Q770" s="3087"/>
      <c r="R770" s="3087"/>
      <c r="S770" s="3087"/>
      <c r="T770" s="3087"/>
      <c r="U770" s="3087"/>
      <c r="V770" s="3087"/>
      <c r="W770" s="3087"/>
      <c r="X770" s="3087"/>
      <c r="Y770" s="3087"/>
      <c r="Z770" s="3087"/>
      <c r="AA770" s="3087"/>
      <c r="AB770" s="3087"/>
      <c r="AC770" s="3087"/>
      <c r="AD770" s="3087"/>
      <c r="AE770" s="3087"/>
      <c r="AF770" s="3087"/>
      <c r="AG770" s="3087"/>
      <c r="AH770" s="3087"/>
      <c r="AI770" s="3087"/>
      <c r="AJ770" s="3088"/>
      <c r="AK770" s="1004"/>
      <c r="AL770" s="1004"/>
      <c r="AM770" s="1004"/>
      <c r="AN770" s="999"/>
    </row>
    <row r="771" spans="1:44" s="942" customFormat="1" ht="12.75" customHeight="1">
      <c r="A771" s="1047"/>
      <c r="B771" s="3089"/>
      <c r="C771" s="3090"/>
      <c r="D771" s="3090"/>
      <c r="E771" s="3090"/>
      <c r="F771" s="3090"/>
      <c r="G771" s="3090"/>
      <c r="H771" s="3090"/>
      <c r="I771" s="3090"/>
      <c r="J771" s="3090"/>
      <c r="K771" s="3090"/>
      <c r="L771" s="3090"/>
      <c r="M771" s="3090"/>
      <c r="N771" s="3090"/>
      <c r="O771" s="3090"/>
      <c r="P771" s="3090"/>
      <c r="Q771" s="3090"/>
      <c r="R771" s="3090"/>
      <c r="S771" s="3090"/>
      <c r="T771" s="3090"/>
      <c r="U771" s="3090"/>
      <c r="V771" s="3090"/>
      <c r="W771" s="3090"/>
      <c r="X771" s="3090"/>
      <c r="Y771" s="3090"/>
      <c r="Z771" s="3090"/>
      <c r="AA771" s="3090"/>
      <c r="AB771" s="3090"/>
      <c r="AC771" s="3090"/>
      <c r="AD771" s="3090"/>
      <c r="AE771" s="3090"/>
      <c r="AF771" s="3090"/>
      <c r="AG771" s="3090"/>
      <c r="AH771" s="3090"/>
      <c r="AI771" s="3090"/>
      <c r="AJ771" s="3091"/>
      <c r="AK771" s="1004"/>
      <c r="AL771" s="1004"/>
      <c r="AM771" s="1004"/>
      <c r="AN771" s="999"/>
      <c r="AP771" s="3014">
        <f>AP772-AP767-AP768</f>
        <v>23364832.090000004</v>
      </c>
      <c r="AQ771" s="3035"/>
      <c r="AR771" s="3035"/>
    </row>
    <row r="772" spans="1:44" s="942" customFormat="1" ht="12.75" customHeight="1">
      <c r="A772" s="1047"/>
      <c r="B772" s="3092"/>
      <c r="C772" s="3093"/>
      <c r="D772" s="3093"/>
      <c r="E772" s="3093"/>
      <c r="F772" s="3093"/>
      <c r="G772" s="3093"/>
      <c r="H772" s="3093"/>
      <c r="I772" s="3093"/>
      <c r="J772" s="3093"/>
      <c r="K772" s="3093"/>
      <c r="L772" s="3093"/>
      <c r="M772" s="3093"/>
      <c r="N772" s="3093"/>
      <c r="O772" s="3093"/>
      <c r="P772" s="3093"/>
      <c r="Q772" s="3093"/>
      <c r="R772" s="3093"/>
      <c r="S772" s="3093"/>
      <c r="T772" s="3093"/>
      <c r="U772" s="3093"/>
      <c r="V772" s="3093"/>
      <c r="W772" s="3093"/>
      <c r="X772" s="3093"/>
      <c r="Y772" s="3093"/>
      <c r="Z772" s="3093"/>
      <c r="AA772" s="3093"/>
      <c r="AB772" s="3093"/>
      <c r="AC772" s="3093"/>
      <c r="AD772" s="3093"/>
      <c r="AE772" s="3093"/>
      <c r="AF772" s="3093"/>
      <c r="AG772" s="3093"/>
      <c r="AH772" s="3093"/>
      <c r="AI772" s="3093"/>
      <c r="AJ772" s="3094"/>
      <c r="AK772" s="1004"/>
      <c r="AL772" s="1004"/>
      <c r="AM772" s="1004"/>
      <c r="AN772" s="999"/>
      <c r="AP772" s="3014">
        <f>Application!AJ1032</f>
        <v>45693163.390000001</v>
      </c>
      <c r="AQ772" s="3014"/>
      <c r="AR772" s="3014"/>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1858</v>
      </c>
      <c r="AK774" s="3095">
        <f>IF(AF768=0,0,IF((AF768*100)&gt;12,12,(AF768*100)))</f>
        <v>12</v>
      </c>
      <c r="AL774" s="3095"/>
      <c r="AM774" s="3096"/>
      <c r="AN774" s="999"/>
      <c r="AP774" s="3003">
        <f>AP771+(AP765*AP769)</f>
        <v>41407928.090000004</v>
      </c>
      <c r="AQ774" s="3004"/>
      <c r="AR774" s="3005"/>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097" t="s">
        <v>1859</v>
      </c>
      <c r="B777" s="3098"/>
      <c r="C777" s="3098"/>
      <c r="D777" s="3098"/>
      <c r="E777" s="3098"/>
      <c r="F777" s="3098"/>
      <c r="G777" s="3098"/>
      <c r="H777" s="3098"/>
      <c r="I777" s="3098"/>
      <c r="J777" s="3098"/>
      <c r="K777" s="3098"/>
      <c r="L777" s="3098"/>
      <c r="M777" s="3098"/>
      <c r="N777" s="3098"/>
      <c r="O777" s="3098"/>
      <c r="P777" s="3098"/>
      <c r="Q777" s="3098"/>
      <c r="R777" s="3098"/>
      <c r="S777" s="3098"/>
      <c r="T777" s="3098"/>
      <c r="U777" s="3098"/>
      <c r="V777" s="3098"/>
      <c r="W777" s="3098"/>
      <c r="X777" s="3098"/>
      <c r="Y777" s="3098"/>
      <c r="Z777" s="3098"/>
      <c r="AA777" s="3098"/>
      <c r="AB777" s="3098"/>
      <c r="AC777" s="3098"/>
      <c r="AD777" s="3098"/>
      <c r="AE777" s="3098"/>
      <c r="AF777" s="3098"/>
      <c r="AG777" s="3098"/>
      <c r="AH777" s="3098"/>
      <c r="AI777" s="3098"/>
      <c r="AJ777" s="3098"/>
      <c r="AK777" s="3098"/>
      <c r="AL777" s="3098"/>
      <c r="AM777" s="3098"/>
    </row>
    <row r="778" spans="1:44">
      <c r="A778" s="3099"/>
      <c r="B778" s="3099"/>
      <c r="C778" s="3099"/>
      <c r="D778" s="3099"/>
      <c r="E778" s="3099"/>
      <c r="F778" s="3099"/>
      <c r="G778" s="3099"/>
      <c r="H778" s="3099"/>
      <c r="I778" s="3099"/>
      <c r="J778" s="3099"/>
      <c r="K778" s="3099"/>
      <c r="L778" s="3099"/>
      <c r="M778" s="3099"/>
      <c r="N778" s="3099"/>
      <c r="O778" s="3099"/>
      <c r="P778" s="3099"/>
      <c r="Q778" s="3099"/>
      <c r="R778" s="3099"/>
      <c r="S778" s="3099"/>
      <c r="T778" s="3099"/>
      <c r="U778" s="3099"/>
      <c r="V778" s="3099"/>
      <c r="W778" s="3099"/>
      <c r="X778" s="3099"/>
      <c r="Y778" s="3099"/>
      <c r="Z778" s="3099"/>
      <c r="AA778" s="3099"/>
      <c r="AB778" s="3099"/>
      <c r="AC778" s="3099"/>
      <c r="AD778" s="3099"/>
      <c r="AE778" s="3099"/>
      <c r="AF778" s="3099"/>
      <c r="AG778" s="3099"/>
      <c r="AH778" s="3099"/>
      <c r="AI778" s="3099"/>
      <c r="AJ778" s="3099"/>
      <c r="AK778" s="3099"/>
      <c r="AL778" s="3099"/>
      <c r="AM778" s="3099"/>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031"/>
      <c r="B780" s="3031"/>
      <c r="C780" s="3031"/>
      <c r="D780" s="3031"/>
      <c r="E780" s="3031"/>
      <c r="F780" s="3031"/>
      <c r="G780" s="3031"/>
      <c r="H780" s="3031"/>
      <c r="I780" s="3031"/>
      <c r="J780" s="3031"/>
      <c r="K780" s="3031"/>
      <c r="L780" s="3031"/>
      <c r="M780" s="3031"/>
      <c r="N780" s="3031"/>
      <c r="O780" s="3031"/>
      <c r="P780" s="3031"/>
      <c r="Q780" s="3031"/>
      <c r="R780" s="3031"/>
      <c r="S780" s="3031"/>
      <c r="T780" s="3031"/>
      <c r="U780" s="3031"/>
      <c r="V780" s="3031"/>
      <c r="W780" s="3031"/>
      <c r="X780" s="3031"/>
      <c r="Y780" s="3031"/>
      <c r="Z780" s="3031"/>
      <c r="AA780" s="3031"/>
      <c r="AB780" s="3031"/>
      <c r="AC780" s="3031"/>
      <c r="AD780" s="3031"/>
      <c r="AE780" s="3031"/>
      <c r="AF780" s="3031"/>
      <c r="AG780" s="3031"/>
      <c r="AH780" s="3031"/>
      <c r="AI780" s="3031"/>
      <c r="AJ780" s="3031"/>
      <c r="AK780" s="3031"/>
      <c r="AL780" s="3031"/>
      <c r="AM780" s="3031"/>
      <c r="AO780" s="1226"/>
      <c r="AP780" s="1319"/>
      <c r="AQ780" s="1318"/>
    </row>
    <row r="781" spans="1:44">
      <c r="A781" s="3031"/>
      <c r="B781" s="3031"/>
      <c r="C781" s="3031"/>
      <c r="D781" s="3031"/>
      <c r="E781" s="3031"/>
      <c r="F781" s="3031"/>
      <c r="G781" s="3031"/>
      <c r="H781" s="3031"/>
      <c r="I781" s="3031"/>
      <c r="J781" s="3031"/>
      <c r="K781" s="3031"/>
      <c r="L781" s="3031"/>
      <c r="M781" s="3031"/>
      <c r="N781" s="3031"/>
      <c r="O781" s="3031"/>
      <c r="P781" s="3031"/>
      <c r="Q781" s="3031"/>
      <c r="R781" s="3031"/>
      <c r="S781" s="3031"/>
      <c r="T781" s="3031"/>
      <c r="U781" s="3031"/>
      <c r="V781" s="3031"/>
      <c r="W781" s="3031"/>
      <c r="X781" s="3031"/>
      <c r="Y781" s="3031"/>
      <c r="Z781" s="3031"/>
      <c r="AA781" s="3031"/>
      <c r="AB781" s="3031"/>
      <c r="AC781" s="3031"/>
      <c r="AD781" s="3031"/>
      <c r="AE781" s="3031"/>
      <c r="AF781" s="3031"/>
      <c r="AG781" s="3031"/>
      <c r="AH781" s="3031"/>
      <c r="AI781" s="3031"/>
      <c r="AJ781" s="3031"/>
      <c r="AK781" s="3031"/>
      <c r="AL781" s="3031"/>
      <c r="AM781" s="3031"/>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100" t="s">
        <v>1860</v>
      </c>
      <c r="U782" s="3101"/>
      <c r="V782" s="3101"/>
      <c r="W782" s="3101"/>
      <c r="X782" s="3101"/>
      <c r="Y782" s="3102"/>
      <c r="Z782" s="3100" t="s">
        <v>1861</v>
      </c>
      <c r="AA782" s="3101"/>
      <c r="AB782" s="3101"/>
      <c r="AC782" s="3101"/>
      <c r="AD782" s="3101"/>
      <c r="AE782" s="3102"/>
      <c r="AF782" s="3100" t="s">
        <v>1862</v>
      </c>
      <c r="AG782" s="3101"/>
      <c r="AH782" s="3101"/>
      <c r="AI782" s="3101"/>
      <c r="AJ782" s="3101"/>
      <c r="AK782" s="3102"/>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103"/>
      <c r="U783" s="3104"/>
      <c r="V783" s="3104"/>
      <c r="W783" s="3104"/>
      <c r="X783" s="3104"/>
      <c r="Y783" s="3105"/>
      <c r="Z783" s="3103"/>
      <c r="AA783" s="3104"/>
      <c r="AB783" s="3104"/>
      <c r="AC783" s="3104"/>
      <c r="AD783" s="3104"/>
      <c r="AE783" s="3105"/>
      <c r="AF783" s="3103"/>
      <c r="AG783" s="3104"/>
      <c r="AH783" s="3104"/>
      <c r="AI783" s="3104"/>
      <c r="AJ783" s="3104"/>
      <c r="AK783" s="3105"/>
      <c r="AL783" s="1321"/>
      <c r="AM783" s="1215"/>
      <c r="AO783" s="1319"/>
      <c r="AP783" s="1318"/>
      <c r="AQ783" s="1318"/>
    </row>
    <row r="784" spans="1:44">
      <c r="A784" s="1322" t="s">
        <v>797</v>
      </c>
      <c r="B784" s="3054" t="s">
        <v>1560</v>
      </c>
      <c r="C784" s="3054"/>
      <c r="D784" s="3054"/>
      <c r="E784" s="3054"/>
      <c r="F784" s="3054"/>
      <c r="G784" s="3054"/>
      <c r="H784" s="3054"/>
      <c r="I784" s="3054"/>
      <c r="J784" s="3054"/>
      <c r="K784" s="3054"/>
      <c r="L784" s="3054"/>
      <c r="M784" s="3054"/>
      <c r="N784" s="3054"/>
      <c r="O784" s="3054"/>
      <c r="P784" s="3054"/>
      <c r="Q784" s="3054"/>
      <c r="R784" s="3054"/>
      <c r="S784" s="3055"/>
      <c r="T784" s="3085">
        <f>AK51</f>
        <v>0</v>
      </c>
      <c r="U784" s="3058"/>
      <c r="V784" s="3058"/>
      <c r="W784" s="3058"/>
      <c r="X784" s="3058"/>
      <c r="Y784" s="3059"/>
      <c r="Z784" s="3057">
        <v>20</v>
      </c>
      <c r="AA784" s="3058"/>
      <c r="AB784" s="3058"/>
      <c r="AC784" s="3058"/>
      <c r="AD784" s="3058"/>
      <c r="AE784" s="3059"/>
      <c r="AF784" s="3060">
        <f>IF(T784&gt;Z784,Z784,T784)</f>
        <v>0</v>
      </c>
      <c r="AG784" s="3060"/>
      <c r="AH784" s="3060"/>
      <c r="AI784" s="3060"/>
      <c r="AJ784" s="3060"/>
      <c r="AK784" s="3060"/>
      <c r="AL784" s="1321"/>
      <c r="AM784" s="1215"/>
      <c r="AO784" s="1318"/>
      <c r="AP784" s="1318"/>
      <c r="AQ784" s="1318"/>
    </row>
    <row r="785" spans="1:81">
      <c r="A785" s="1322" t="s">
        <v>1828</v>
      </c>
      <c r="B785" s="3054" t="s">
        <v>1581</v>
      </c>
      <c r="C785" s="3054"/>
      <c r="D785" s="3054"/>
      <c r="E785" s="3054"/>
      <c r="F785" s="3054"/>
      <c r="G785" s="3054"/>
      <c r="H785" s="3054"/>
      <c r="I785" s="3054"/>
      <c r="J785" s="3054"/>
      <c r="K785" s="3054"/>
      <c r="L785" s="3054"/>
      <c r="M785" s="3054"/>
      <c r="N785" s="3054"/>
      <c r="O785" s="3054"/>
      <c r="P785" s="3054"/>
      <c r="Q785" s="3054"/>
      <c r="R785" s="3054"/>
      <c r="S785" s="3055"/>
      <c r="T785" s="3085">
        <f>AK72</f>
        <v>10</v>
      </c>
      <c r="U785" s="3058"/>
      <c r="V785" s="3058"/>
      <c r="W785" s="3058"/>
      <c r="X785" s="3058"/>
      <c r="Y785" s="3059"/>
      <c r="Z785" s="3057">
        <v>10</v>
      </c>
      <c r="AA785" s="3058"/>
      <c r="AB785" s="3058"/>
      <c r="AC785" s="3058"/>
      <c r="AD785" s="3058"/>
      <c r="AE785" s="3059"/>
      <c r="AF785" s="3060">
        <f>IF(T785&gt;Z785,Z785,T785)</f>
        <v>10</v>
      </c>
      <c r="AG785" s="3060"/>
      <c r="AH785" s="3060"/>
      <c r="AI785" s="3060"/>
      <c r="AJ785" s="3060"/>
      <c r="AK785" s="3060"/>
      <c r="AL785" s="1321"/>
      <c r="AM785" s="1215"/>
      <c r="AO785" s="1318"/>
      <c r="AP785" s="1318"/>
      <c r="AQ785" s="1318"/>
    </row>
    <row r="786" spans="1:81">
      <c r="A786" s="1322" t="s">
        <v>1837</v>
      </c>
      <c r="B786" s="3054" t="s">
        <v>1591</v>
      </c>
      <c r="C786" s="3054"/>
      <c r="D786" s="3054"/>
      <c r="E786" s="3054"/>
      <c r="F786" s="3054"/>
      <c r="G786" s="3054"/>
      <c r="H786" s="3054"/>
      <c r="I786" s="3054"/>
      <c r="J786" s="3054"/>
      <c r="K786" s="3054"/>
      <c r="L786" s="3054"/>
      <c r="M786" s="3054"/>
      <c r="N786" s="3054"/>
      <c r="O786" s="3054"/>
      <c r="P786" s="3054"/>
      <c r="Q786" s="3054"/>
      <c r="R786" s="3054"/>
      <c r="S786" s="3055"/>
      <c r="T786" s="3085">
        <f ca="1">AK97</f>
        <v>20</v>
      </c>
      <c r="U786" s="3058"/>
      <c r="V786" s="3058"/>
      <c r="W786" s="3058"/>
      <c r="X786" s="3058"/>
      <c r="Y786" s="3059"/>
      <c r="Z786" s="3057">
        <v>20</v>
      </c>
      <c r="AA786" s="3058"/>
      <c r="AB786" s="3058"/>
      <c r="AC786" s="3058"/>
      <c r="AD786" s="3058"/>
      <c r="AE786" s="3059"/>
      <c r="AF786" s="3060">
        <f ca="1">IF(T786&gt;Z786,Z786,T786)</f>
        <v>20</v>
      </c>
      <c r="AG786" s="3060"/>
      <c r="AH786" s="3060"/>
      <c r="AI786" s="3060"/>
      <c r="AJ786" s="3060"/>
      <c r="AK786" s="3060"/>
      <c r="AL786" s="1321"/>
      <c r="AM786" s="1215"/>
      <c r="AO786" s="1318"/>
      <c r="AP786" s="1318"/>
      <c r="AQ786" s="1318"/>
    </row>
    <row r="787" spans="1:81">
      <c r="A787" s="1322" t="s">
        <v>1863</v>
      </c>
      <c r="B787" s="3054" t="s">
        <v>1601</v>
      </c>
      <c r="C787" s="3054"/>
      <c r="D787" s="3054"/>
      <c r="E787" s="3054"/>
      <c r="F787" s="3054"/>
      <c r="G787" s="3054"/>
      <c r="H787" s="3054"/>
      <c r="I787" s="3054"/>
      <c r="J787" s="3054"/>
      <c r="K787" s="3054"/>
      <c r="L787" s="3054"/>
      <c r="M787" s="3054"/>
      <c r="N787" s="3054"/>
      <c r="O787" s="3054"/>
      <c r="P787" s="3054"/>
      <c r="Q787" s="3054"/>
      <c r="R787" s="3054"/>
      <c r="S787" s="3055"/>
      <c r="T787" s="3085">
        <f>AK131</f>
        <v>10</v>
      </c>
      <c r="U787" s="3058"/>
      <c r="V787" s="3058"/>
      <c r="W787" s="3058"/>
      <c r="X787" s="3058"/>
      <c r="Y787" s="3059"/>
      <c r="Z787" s="3057">
        <v>10</v>
      </c>
      <c r="AA787" s="3058"/>
      <c r="AB787" s="3058"/>
      <c r="AC787" s="3058"/>
      <c r="AD787" s="3058"/>
      <c r="AE787" s="3059"/>
      <c r="AF787" s="3060">
        <f>IF(T787&gt;Z787,Z787,T787)</f>
        <v>10</v>
      </c>
      <c r="AG787" s="3060"/>
      <c r="AH787" s="3060"/>
      <c r="AI787" s="3060"/>
      <c r="AJ787" s="3060"/>
      <c r="AK787" s="3060"/>
      <c r="AL787" s="1321"/>
      <c r="AM787" s="1215"/>
      <c r="AO787" s="1318"/>
      <c r="AP787" s="1318"/>
      <c r="AQ787" s="1318"/>
    </row>
    <row r="788" spans="1:81">
      <c r="A788" s="1324" t="s">
        <v>1864</v>
      </c>
      <c r="B788" s="3054" t="s">
        <v>1865</v>
      </c>
      <c r="C788" s="3054"/>
      <c r="D788" s="3054"/>
      <c r="E788" s="3054"/>
      <c r="F788" s="3054"/>
      <c r="G788" s="3054"/>
      <c r="H788" s="3054"/>
      <c r="I788" s="3054"/>
      <c r="J788" s="3054"/>
      <c r="K788" s="3054"/>
      <c r="L788" s="3054"/>
      <c r="M788" s="3054"/>
      <c r="N788" s="3054"/>
      <c r="O788" s="3054"/>
      <c r="P788" s="3054"/>
      <c r="Q788" s="3054"/>
      <c r="R788" s="3054"/>
      <c r="S788" s="3055"/>
      <c r="T788" s="3056">
        <f>SUM(T789:Y790)</f>
        <v>10</v>
      </c>
      <c r="U788" s="3056"/>
      <c r="V788" s="3056"/>
      <c r="W788" s="3056"/>
      <c r="X788" s="3056"/>
      <c r="Y788" s="3056"/>
      <c r="Z788" s="3060">
        <v>10</v>
      </c>
      <c r="AA788" s="3060"/>
      <c r="AB788" s="3060"/>
      <c r="AC788" s="3060"/>
      <c r="AD788" s="3060"/>
      <c r="AE788" s="3060"/>
      <c r="AF788" s="3060">
        <f>IF(T788&gt;Z788,Z788,T788)</f>
        <v>10</v>
      </c>
      <c r="AG788" s="3060"/>
      <c r="AH788" s="3060"/>
      <c r="AI788" s="3060"/>
      <c r="AJ788" s="3060"/>
      <c r="AK788" s="3060"/>
      <c r="AL788" s="1321"/>
      <c r="AM788" s="1215"/>
    </row>
    <row r="789" spans="1:81">
      <c r="A789" s="925"/>
      <c r="B789" s="1008"/>
      <c r="C789" s="3061" t="s">
        <v>1866</v>
      </c>
      <c r="D789" s="3061"/>
      <c r="E789" s="3061"/>
      <c r="F789" s="3061"/>
      <c r="G789" s="3061"/>
      <c r="H789" s="3061"/>
      <c r="I789" s="3061"/>
      <c r="J789" s="3061"/>
      <c r="K789" s="3061"/>
      <c r="L789" s="3061"/>
      <c r="M789" s="3061"/>
      <c r="N789" s="3061"/>
      <c r="O789" s="3061"/>
      <c r="P789" s="3061"/>
      <c r="Q789" s="3061"/>
      <c r="R789" s="3061"/>
      <c r="S789" s="3062"/>
      <c r="T789" s="3063">
        <f>AJ149</f>
        <v>7</v>
      </c>
      <c r="U789" s="3063"/>
      <c r="V789" s="3063"/>
      <c r="W789" s="3063"/>
      <c r="X789" s="3063"/>
      <c r="Y789" s="3063"/>
      <c r="Z789" s="3064">
        <v>7</v>
      </c>
      <c r="AA789" s="3064"/>
      <c r="AB789" s="3064"/>
      <c r="AC789" s="3064"/>
      <c r="AD789" s="3064"/>
      <c r="AE789" s="3064"/>
      <c r="AF789" s="3065"/>
      <c r="AG789" s="3065"/>
      <c r="AH789" s="3065"/>
      <c r="AI789" s="3065"/>
      <c r="AJ789" s="3065"/>
      <c r="AK789" s="3065"/>
      <c r="AL789" s="1321"/>
      <c r="AM789" s="1215"/>
    </row>
    <row r="790" spans="1:81">
      <c r="A790" s="1325"/>
      <c r="B790" s="1008"/>
      <c r="C790" s="3061" t="s">
        <v>1867</v>
      </c>
      <c r="D790" s="3061"/>
      <c r="E790" s="3061"/>
      <c r="F790" s="3061"/>
      <c r="G790" s="3061"/>
      <c r="H790" s="3061"/>
      <c r="I790" s="3061"/>
      <c r="J790" s="3061"/>
      <c r="K790" s="3061"/>
      <c r="L790" s="3061"/>
      <c r="M790" s="3061"/>
      <c r="N790" s="3061"/>
      <c r="O790" s="3061"/>
      <c r="P790" s="3061"/>
      <c r="Q790" s="3061"/>
      <c r="R790" s="3061"/>
      <c r="S790" s="3062"/>
      <c r="T790" s="3063">
        <f>AJ163</f>
        <v>3</v>
      </c>
      <c r="U790" s="3063"/>
      <c r="V790" s="3063"/>
      <c r="W790" s="3063"/>
      <c r="X790" s="3063"/>
      <c r="Y790" s="3063"/>
      <c r="Z790" s="3064">
        <v>3</v>
      </c>
      <c r="AA790" s="3064"/>
      <c r="AB790" s="3064"/>
      <c r="AC790" s="3064"/>
      <c r="AD790" s="3064"/>
      <c r="AE790" s="3064"/>
      <c r="AF790" s="3065"/>
      <c r="AG790" s="3065"/>
      <c r="AH790" s="3065"/>
      <c r="AI790" s="3065"/>
      <c r="AJ790" s="3065"/>
      <c r="AK790" s="3065"/>
      <c r="AL790" s="1321"/>
      <c r="AM790" s="1215"/>
      <c r="AO790" s="942"/>
    </row>
    <row r="791" spans="1:81">
      <c r="A791" s="1324" t="s">
        <v>1629</v>
      </c>
      <c r="B791" s="3054" t="s">
        <v>1868</v>
      </c>
      <c r="C791" s="3054"/>
      <c r="D791" s="3054"/>
      <c r="E791" s="3054"/>
      <c r="F791" s="3054"/>
      <c r="G791" s="3054"/>
      <c r="H791" s="3054"/>
      <c r="I791" s="3054"/>
      <c r="J791" s="3054"/>
      <c r="K791" s="3054"/>
      <c r="L791" s="3054"/>
      <c r="M791" s="3054"/>
      <c r="N791" s="3054"/>
      <c r="O791" s="3054"/>
      <c r="P791" s="3054"/>
      <c r="Q791" s="3054"/>
      <c r="R791" s="3054"/>
      <c r="S791" s="3055"/>
      <c r="T791" s="3056">
        <f>AK174</f>
        <v>10</v>
      </c>
      <c r="U791" s="3056"/>
      <c r="V791" s="3056"/>
      <c r="W791" s="3056"/>
      <c r="X791" s="3056"/>
      <c r="Y791" s="3056"/>
      <c r="Z791" s="3060">
        <v>10</v>
      </c>
      <c r="AA791" s="3060"/>
      <c r="AB791" s="3060"/>
      <c r="AC791" s="3060"/>
      <c r="AD791" s="3060"/>
      <c r="AE791" s="3060"/>
      <c r="AF791" s="3060">
        <f>IF(T791&gt;Z791,Z791,T791)</f>
        <v>10</v>
      </c>
      <c r="AG791" s="3060"/>
      <c r="AH791" s="3060"/>
      <c r="AI791" s="3060"/>
      <c r="AJ791" s="3060"/>
      <c r="AK791" s="3060"/>
      <c r="AL791" s="1321"/>
      <c r="AM791" s="1215"/>
    </row>
    <row r="792" spans="1:81">
      <c r="A792" s="1322" t="s">
        <v>1638</v>
      </c>
      <c r="B792" s="3054" t="s">
        <v>1639</v>
      </c>
      <c r="C792" s="3054"/>
      <c r="D792" s="3054"/>
      <c r="E792" s="3054"/>
      <c r="F792" s="3054"/>
      <c r="G792" s="3054"/>
      <c r="H792" s="3054"/>
      <c r="I792" s="3054"/>
      <c r="J792" s="3054"/>
      <c r="K792" s="3054"/>
      <c r="L792" s="3054"/>
      <c r="M792" s="3054"/>
      <c r="N792" s="3054"/>
      <c r="O792" s="3054"/>
      <c r="P792" s="3054"/>
      <c r="Q792" s="3054"/>
      <c r="R792" s="3054"/>
      <c r="S792" s="3055"/>
      <c r="T792" s="3056">
        <f>AK256</f>
        <v>8</v>
      </c>
      <c r="U792" s="3056"/>
      <c r="V792" s="3056"/>
      <c r="W792" s="3056"/>
      <c r="X792" s="3056"/>
      <c r="Y792" s="3056"/>
      <c r="Z792" s="3057">
        <v>8</v>
      </c>
      <c r="AA792" s="3058"/>
      <c r="AB792" s="3058"/>
      <c r="AC792" s="3058"/>
      <c r="AD792" s="3058"/>
      <c r="AE792" s="3059"/>
      <c r="AF792" s="3060">
        <f>IF(T792&gt;Z792,Z792,T792)</f>
        <v>8</v>
      </c>
      <c r="AG792" s="3060"/>
      <c r="AH792" s="3060"/>
      <c r="AI792" s="3060"/>
      <c r="AJ792" s="3060"/>
      <c r="AK792" s="3060"/>
      <c r="AL792" s="1321"/>
      <c r="AM792" s="1215"/>
    </row>
    <row r="793" spans="1:81" s="924" customFormat="1" hidden="1">
      <c r="A793" s="1324" t="s">
        <v>623</v>
      </c>
      <c r="B793" s="3054" t="s">
        <v>1869</v>
      </c>
      <c r="C793" s="3054"/>
      <c r="D793" s="3054"/>
      <c r="E793" s="3054"/>
      <c r="F793" s="3054"/>
      <c r="G793" s="3054"/>
      <c r="H793" s="3054"/>
      <c r="I793" s="3054"/>
      <c r="J793" s="3054"/>
      <c r="K793" s="3054"/>
      <c r="L793" s="3054"/>
      <c r="M793" s="3054"/>
      <c r="N793" s="3054"/>
      <c r="O793" s="3054"/>
      <c r="P793" s="3054"/>
      <c r="Q793" s="3054"/>
      <c r="R793" s="3054"/>
      <c r="S793" s="3055"/>
      <c r="T793" s="3056">
        <f>IF(AK750&gt;5,5,AK750)</f>
        <v>0</v>
      </c>
      <c r="U793" s="3056"/>
      <c r="V793" s="3056"/>
      <c r="W793" s="3056"/>
      <c r="X793" s="3056"/>
      <c r="Y793" s="3056"/>
      <c r="Z793" s="3060">
        <v>5</v>
      </c>
      <c r="AA793" s="3060"/>
      <c r="AB793" s="3060"/>
      <c r="AC793" s="3060"/>
      <c r="AD793" s="3060"/>
      <c r="AE793" s="3060"/>
      <c r="AF793" s="3060">
        <f>IF(T793&gt;Z793,5,T793)</f>
        <v>0</v>
      </c>
      <c r="AG793" s="3060"/>
      <c r="AH793" s="3060"/>
      <c r="AI793" s="3060"/>
      <c r="AJ793" s="3060"/>
      <c r="AK793" s="3060"/>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1644</v>
      </c>
      <c r="B794" s="3054" t="s">
        <v>1870</v>
      </c>
      <c r="C794" s="3054"/>
      <c r="D794" s="3054"/>
      <c r="E794" s="3054"/>
      <c r="F794" s="3054"/>
      <c r="G794" s="3054"/>
      <c r="H794" s="3054"/>
      <c r="I794" s="3054"/>
      <c r="J794" s="3054"/>
      <c r="K794" s="3054"/>
      <c r="L794" s="3054"/>
      <c r="M794" s="3054"/>
      <c r="N794" s="3054"/>
      <c r="O794" s="3054"/>
      <c r="P794" s="3054"/>
      <c r="Q794" s="3054"/>
      <c r="R794" s="3054"/>
      <c r="S794" s="3055"/>
      <c r="T794" s="3056">
        <f>AK267</f>
        <v>10</v>
      </c>
      <c r="U794" s="3056"/>
      <c r="V794" s="3056"/>
      <c r="W794" s="3056"/>
      <c r="X794" s="3056"/>
      <c r="Y794" s="3056"/>
      <c r="Z794" s="3060">
        <v>10</v>
      </c>
      <c r="AA794" s="3060"/>
      <c r="AB794" s="3060"/>
      <c r="AC794" s="3060"/>
      <c r="AD794" s="3060"/>
      <c r="AE794" s="3060"/>
      <c r="AF794" s="3066">
        <f>IF(T794&gt;Z794,Z794,T794)</f>
        <v>10</v>
      </c>
      <c r="AG794" s="3067"/>
      <c r="AH794" s="3067"/>
      <c r="AI794" s="3067"/>
      <c r="AJ794" s="3067"/>
      <c r="AK794" s="3068"/>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1648</v>
      </c>
      <c r="B795" s="3054" t="s">
        <v>1649</v>
      </c>
      <c r="C795" s="3054"/>
      <c r="D795" s="3054"/>
      <c r="E795" s="3054"/>
      <c r="F795" s="3054"/>
      <c r="G795" s="3054"/>
      <c r="H795" s="3054"/>
      <c r="I795" s="3054"/>
      <c r="J795" s="3054"/>
      <c r="K795" s="3054"/>
      <c r="L795" s="3054"/>
      <c r="M795" s="3054"/>
      <c r="N795" s="3054"/>
      <c r="O795" s="3054"/>
      <c r="P795" s="3054"/>
      <c r="Q795" s="3054"/>
      <c r="R795" s="3054"/>
      <c r="S795" s="3055"/>
      <c r="T795" s="3056">
        <f>AK553</f>
        <v>19</v>
      </c>
      <c r="U795" s="3056"/>
      <c r="V795" s="3056"/>
      <c r="W795" s="3056"/>
      <c r="X795" s="3056"/>
      <c r="Y795" s="3056"/>
      <c r="Z795" s="3066">
        <v>20</v>
      </c>
      <c r="AA795" s="3067"/>
      <c r="AB795" s="3067"/>
      <c r="AC795" s="3067"/>
      <c r="AD795" s="3067"/>
      <c r="AE795" s="3068"/>
      <c r="AF795" s="3066">
        <f>IF(T795&gt;Z795,Z795,T795)</f>
        <v>19</v>
      </c>
      <c r="AG795" s="3069"/>
      <c r="AH795" s="3069"/>
      <c r="AI795" s="3069"/>
      <c r="AJ795" s="3069"/>
      <c r="AK795" s="3070"/>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1871</v>
      </c>
      <c r="D796" s="1329"/>
      <c r="E796" s="1329"/>
      <c r="F796" s="1329"/>
      <c r="G796" s="1329"/>
      <c r="H796" s="1329"/>
      <c r="I796" s="1329"/>
      <c r="J796" s="1329"/>
      <c r="K796" s="1329"/>
      <c r="L796" s="1329"/>
      <c r="M796" s="1329"/>
      <c r="N796" s="1329"/>
      <c r="O796" s="1329"/>
      <c r="P796" s="1329"/>
      <c r="Q796" s="1329"/>
      <c r="R796" s="1327"/>
      <c r="S796" s="1330"/>
      <c r="T796" s="3063">
        <f>AK320</f>
        <v>9</v>
      </c>
      <c r="U796" s="3063"/>
      <c r="V796" s="3063"/>
      <c r="W796" s="3063"/>
      <c r="X796" s="3063"/>
      <c r="Y796" s="3063"/>
      <c r="Z796" s="3028">
        <v>20</v>
      </c>
      <c r="AA796" s="3029"/>
      <c r="AB796" s="3029"/>
      <c r="AC796" s="3029"/>
      <c r="AD796" s="3029"/>
      <c r="AE796" s="3030"/>
      <c r="AF796" s="3065"/>
      <c r="AG796" s="3065"/>
      <c r="AH796" s="3065"/>
      <c r="AI796" s="3065"/>
      <c r="AJ796" s="3065"/>
      <c r="AK796" s="3065"/>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1872</v>
      </c>
      <c r="D797" s="1328"/>
      <c r="E797" s="1328"/>
      <c r="F797" s="1328"/>
      <c r="G797" s="1328"/>
      <c r="H797" s="1328"/>
      <c r="I797" s="1328"/>
      <c r="J797" s="1328"/>
      <c r="K797" s="1328"/>
      <c r="L797" s="1328"/>
      <c r="M797" s="1328"/>
      <c r="N797" s="1328"/>
      <c r="O797" s="1328"/>
      <c r="P797" s="1328"/>
      <c r="Q797" s="1328"/>
      <c r="R797" s="1327"/>
      <c r="S797" s="1330"/>
      <c r="T797" s="3063">
        <f>AK551</f>
        <v>10</v>
      </c>
      <c r="U797" s="3063"/>
      <c r="V797" s="3063"/>
      <c r="W797" s="3063"/>
      <c r="X797" s="3063"/>
      <c r="Y797" s="3063"/>
      <c r="Z797" s="3028">
        <v>10</v>
      </c>
      <c r="AA797" s="3029"/>
      <c r="AB797" s="3029"/>
      <c r="AC797" s="3029"/>
      <c r="AD797" s="3029"/>
      <c r="AE797" s="3030"/>
      <c r="AF797" s="3065"/>
      <c r="AG797" s="3065"/>
      <c r="AH797" s="3065"/>
      <c r="AI797" s="3065"/>
      <c r="AJ797" s="3065"/>
      <c r="AK797" s="3065"/>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1734</v>
      </c>
      <c r="B798" s="3054" t="s">
        <v>907</v>
      </c>
      <c r="C798" s="3054"/>
      <c r="D798" s="3054"/>
      <c r="E798" s="3054"/>
      <c r="F798" s="3054"/>
      <c r="G798" s="3054"/>
      <c r="H798" s="3054"/>
      <c r="I798" s="3054"/>
      <c r="J798" s="3054"/>
      <c r="K798" s="3054"/>
      <c r="L798" s="3054"/>
      <c r="M798" s="3054"/>
      <c r="N798" s="3054"/>
      <c r="O798" s="3054"/>
      <c r="P798" s="3054"/>
      <c r="Q798" s="3054"/>
      <c r="R798" s="3054"/>
      <c r="S798" s="3055"/>
      <c r="T798" s="3056">
        <f>AK684</f>
        <v>10</v>
      </c>
      <c r="U798" s="3056"/>
      <c r="V798" s="3056"/>
      <c r="W798" s="3056"/>
      <c r="X798" s="3056"/>
      <c r="Y798" s="3056"/>
      <c r="Z798" s="3066">
        <v>10</v>
      </c>
      <c r="AA798" s="3067"/>
      <c r="AB798" s="3067"/>
      <c r="AC798" s="3067"/>
      <c r="AD798" s="3067"/>
      <c r="AE798" s="3068"/>
      <c r="AF798" s="3060">
        <f>IF(T798&gt;Z798,Z798,T798)</f>
        <v>10</v>
      </c>
      <c r="AG798" s="3060"/>
      <c r="AH798" s="3060"/>
      <c r="AI798" s="3060"/>
      <c r="AJ798" s="3060"/>
      <c r="AK798" s="3060"/>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1847</v>
      </c>
      <c r="B799" s="3054" t="s">
        <v>1848</v>
      </c>
      <c r="C799" s="3054"/>
      <c r="D799" s="3054"/>
      <c r="E799" s="3054"/>
      <c r="F799" s="3054"/>
      <c r="G799" s="3054"/>
      <c r="H799" s="3054"/>
      <c r="I799" s="3054"/>
      <c r="J799" s="3054"/>
      <c r="K799" s="3054"/>
      <c r="L799" s="3054"/>
      <c r="M799" s="3054"/>
      <c r="N799" s="3054"/>
      <c r="O799" s="3054"/>
      <c r="P799" s="3054"/>
      <c r="Q799" s="3054"/>
      <c r="R799" s="3054"/>
      <c r="S799" s="3055"/>
      <c r="T799" s="3056">
        <f>AK774</f>
        <v>12</v>
      </c>
      <c r="U799" s="3056"/>
      <c r="V799" s="3056"/>
      <c r="W799" s="3056"/>
      <c r="X799" s="3056"/>
      <c r="Y799" s="3056"/>
      <c r="Z799" s="3066">
        <v>12</v>
      </c>
      <c r="AA799" s="3067"/>
      <c r="AB799" s="3067"/>
      <c r="AC799" s="3067"/>
      <c r="AD799" s="3067"/>
      <c r="AE799" s="3068"/>
      <c r="AF799" s="3060">
        <f>IF(T799&gt;Z799,Z799,T799)</f>
        <v>12</v>
      </c>
      <c r="AG799" s="3060"/>
      <c r="AH799" s="3060"/>
      <c r="AI799" s="3060"/>
      <c r="AJ799" s="3060"/>
      <c r="AK799" s="3060"/>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071" t="s">
        <v>1873</v>
      </c>
      <c r="B800" s="3054"/>
      <c r="C800" s="3054"/>
      <c r="D800" s="3054"/>
      <c r="E800" s="3054"/>
      <c r="F800" s="3054"/>
      <c r="G800" s="3054"/>
      <c r="H800" s="3054"/>
      <c r="I800" s="3054"/>
      <c r="J800" s="3054"/>
      <c r="K800" s="3054"/>
      <c r="L800" s="3054"/>
      <c r="M800" s="3054"/>
      <c r="N800" s="3054"/>
      <c r="O800" s="3054"/>
      <c r="P800" s="3054"/>
      <c r="Q800" s="3054"/>
      <c r="R800" s="3054"/>
      <c r="S800" s="3055"/>
      <c r="T800" s="3072"/>
      <c r="U800" s="3072"/>
      <c r="V800" s="3072"/>
      <c r="W800" s="3072"/>
      <c r="X800" s="3072"/>
      <c r="Y800" s="3072"/>
      <c r="Z800" s="3064" t="s">
        <v>1874</v>
      </c>
      <c r="AA800" s="3064"/>
      <c r="AB800" s="3064"/>
      <c r="AC800" s="3064"/>
      <c r="AD800" s="3064"/>
      <c r="AE800" s="3064"/>
      <c r="AF800" s="3066">
        <f>IF(T800&gt;0,T800,0)</f>
        <v>0</v>
      </c>
      <c r="AG800" s="3067"/>
      <c r="AH800" s="3067"/>
      <c r="AI800" s="3067"/>
      <c r="AJ800" s="3067"/>
      <c r="AK800" s="3068"/>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073" t="s">
        <v>1875</v>
      </c>
      <c r="B801" s="3074"/>
      <c r="C801" s="3074"/>
      <c r="D801" s="3074"/>
      <c r="E801" s="3074"/>
      <c r="F801" s="3074"/>
      <c r="G801" s="3074"/>
      <c r="H801" s="3074"/>
      <c r="I801" s="3074"/>
      <c r="J801" s="3074"/>
      <c r="K801" s="3074"/>
      <c r="L801" s="3074"/>
      <c r="M801" s="3074"/>
      <c r="N801" s="3074"/>
      <c r="O801" s="3074"/>
      <c r="P801" s="3074"/>
      <c r="Q801" s="3074"/>
      <c r="R801" s="3074"/>
      <c r="S801" s="3074"/>
      <c r="T801" s="3074"/>
      <c r="U801" s="3074"/>
      <c r="V801" s="3074"/>
      <c r="W801" s="3074"/>
      <c r="X801" s="3074"/>
      <c r="Y801" s="3074"/>
      <c r="Z801" s="3074"/>
      <c r="AA801" s="3074"/>
      <c r="AB801" s="3074"/>
      <c r="AC801" s="3074"/>
      <c r="AD801" s="3074"/>
      <c r="AE801" s="3075"/>
      <c r="AF801" s="3079">
        <f ca="1">SUM(AF784:AK799)-AF800</f>
        <v>119</v>
      </c>
      <c r="AG801" s="3080"/>
      <c r="AH801" s="3080"/>
      <c r="AI801" s="3080"/>
      <c r="AJ801" s="3080"/>
      <c r="AK801" s="3081"/>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076"/>
      <c r="B802" s="3077"/>
      <c r="C802" s="3077"/>
      <c r="D802" s="3077"/>
      <c r="E802" s="3077"/>
      <c r="F802" s="3077"/>
      <c r="G802" s="3077"/>
      <c r="H802" s="3077"/>
      <c r="I802" s="3077"/>
      <c r="J802" s="3077"/>
      <c r="K802" s="3077"/>
      <c r="L802" s="3077"/>
      <c r="M802" s="3077"/>
      <c r="N802" s="3077"/>
      <c r="O802" s="3077"/>
      <c r="P802" s="3077"/>
      <c r="Q802" s="3077"/>
      <c r="R802" s="3077"/>
      <c r="S802" s="3077"/>
      <c r="T802" s="3077"/>
      <c r="U802" s="3077"/>
      <c r="V802" s="3077"/>
      <c r="W802" s="3077"/>
      <c r="X802" s="3077"/>
      <c r="Y802" s="3077"/>
      <c r="Z802" s="3077"/>
      <c r="AA802" s="3077"/>
      <c r="AB802" s="3077"/>
      <c r="AC802" s="3077"/>
      <c r="AD802" s="3077"/>
      <c r="AE802" s="3078"/>
      <c r="AF802" s="3082"/>
      <c r="AG802" s="3083"/>
      <c r="AH802" s="3083"/>
      <c r="AI802" s="3083"/>
      <c r="AJ802" s="3083"/>
      <c r="AK802" s="3084"/>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Sugden</cp:lastModifiedBy>
  <cp:lastPrinted>2021-05-21T16:16:41Z</cp:lastPrinted>
  <dcterms:created xsi:type="dcterms:W3CDTF">2007-12-27T18:26:28Z</dcterms:created>
  <dcterms:modified xsi:type="dcterms:W3CDTF">2021-05-21T19:12:20Z</dcterms:modified>
</cp:coreProperties>
</file>